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tables/table3.xml" ContentType="application/vnd.openxmlformats-officedocument.spreadsheetml.table+xml"/>
  <Override PartName="/xl/comments3.xml" ContentType="application/vnd.openxmlformats-officedocument.spreadsheetml.comments+xml"/>
  <Override PartName="/xl/tables/table4.xml" ContentType="application/vnd.openxmlformats-officedocument.spreadsheetml.table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230" activeTab="3"/>
  </bookViews>
  <sheets>
    <sheet name="GRUPO 1" sheetId="1" r:id="rId1"/>
    <sheet name="GRUPO 2" sheetId="2" r:id="rId2"/>
    <sheet name="GRUPO 3" sheetId="4" r:id="rId3"/>
    <sheet name="GRUPO 4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5" l="1"/>
  <c r="AA8" i="5"/>
  <c r="AB8" i="5" s="1"/>
  <c r="AC8" i="5" s="1"/>
  <c r="W8" i="5"/>
  <c r="X8" i="5" s="1"/>
  <c r="Y8" i="5" s="1"/>
  <c r="U8" i="5"/>
  <c r="H8" i="5"/>
  <c r="F8" i="5"/>
  <c r="W7" i="5"/>
  <c r="AA7" i="5" s="1"/>
  <c r="AB7" i="5" s="1"/>
  <c r="AC7" i="5" s="1"/>
  <c r="U7" i="5"/>
  <c r="H7" i="5"/>
  <c r="F7" i="5"/>
  <c r="W6" i="5"/>
  <c r="X6" i="5" s="1"/>
  <c r="Y6" i="5" s="1"/>
  <c r="U6" i="5"/>
  <c r="H6" i="5"/>
  <c r="F6" i="5"/>
  <c r="W5" i="5"/>
  <c r="AA5" i="5" s="1"/>
  <c r="AB5" i="5" s="1"/>
  <c r="AC5" i="5" s="1"/>
  <c r="U5" i="5"/>
  <c r="H5" i="5"/>
  <c r="F5" i="5"/>
  <c r="AA4" i="5"/>
  <c r="AB4" i="5" s="1"/>
  <c r="AC4" i="5" s="1"/>
  <c r="W4" i="5"/>
  <c r="X4" i="5" s="1"/>
  <c r="Y4" i="5" s="1"/>
  <c r="U4" i="5"/>
  <c r="H4" i="5"/>
  <c r="F4" i="5"/>
  <c r="W3" i="5"/>
  <c r="AA3" i="5" s="1"/>
  <c r="AB3" i="5" s="1"/>
  <c r="AC3" i="5" s="1"/>
  <c r="U3" i="5"/>
  <c r="U10" i="5" s="1"/>
  <c r="H3" i="5"/>
  <c r="H10" i="5" s="1"/>
  <c r="F3" i="5"/>
  <c r="F10" i="5" s="1"/>
  <c r="D10" i="4"/>
  <c r="AA8" i="4"/>
  <c r="AB8" i="4" s="1"/>
  <c r="AC8" i="4" s="1"/>
  <c r="W8" i="4"/>
  <c r="X8" i="4" s="1"/>
  <c r="Y8" i="4" s="1"/>
  <c r="U8" i="4"/>
  <c r="H8" i="4"/>
  <c r="F8" i="4"/>
  <c r="W7" i="4"/>
  <c r="AA7" i="4" s="1"/>
  <c r="AB7" i="4" s="1"/>
  <c r="AC7" i="4" s="1"/>
  <c r="U7" i="4"/>
  <c r="H7" i="4"/>
  <c r="F7" i="4"/>
  <c r="W6" i="4"/>
  <c r="AA6" i="4" s="1"/>
  <c r="AB6" i="4" s="1"/>
  <c r="AC6" i="4" s="1"/>
  <c r="U6" i="4"/>
  <c r="H6" i="4"/>
  <c r="F6" i="4"/>
  <c r="W5" i="4"/>
  <c r="X5" i="4" s="1"/>
  <c r="Y5" i="4" s="1"/>
  <c r="U5" i="4"/>
  <c r="H5" i="4"/>
  <c r="F5" i="4"/>
  <c r="AA4" i="4"/>
  <c r="AB4" i="4" s="1"/>
  <c r="AC4" i="4" s="1"/>
  <c r="W4" i="4"/>
  <c r="X4" i="4" s="1"/>
  <c r="Y4" i="4" s="1"/>
  <c r="U4" i="4"/>
  <c r="H4" i="4"/>
  <c r="F4" i="4"/>
  <c r="W3" i="4"/>
  <c r="AA3" i="4" s="1"/>
  <c r="AB3" i="4" s="1"/>
  <c r="AC3" i="4" s="1"/>
  <c r="U3" i="4"/>
  <c r="U10" i="4" s="1"/>
  <c r="H3" i="4"/>
  <c r="H10" i="4" s="1"/>
  <c r="F3" i="4"/>
  <c r="F10" i="4" s="1"/>
  <c r="U10" i="2"/>
  <c r="V8" i="2" s="1"/>
  <c r="F10" i="2"/>
  <c r="D10" i="2"/>
  <c r="X8" i="2"/>
  <c r="Y8" i="2" s="1"/>
  <c r="W8" i="2"/>
  <c r="AA8" i="2" s="1"/>
  <c r="AB8" i="2" s="1"/>
  <c r="AC8" i="2" s="1"/>
  <c r="U8" i="2"/>
  <c r="H8" i="2"/>
  <c r="F8" i="2"/>
  <c r="W7" i="2"/>
  <c r="X7" i="2" s="1"/>
  <c r="Y7" i="2" s="1"/>
  <c r="U7" i="2"/>
  <c r="H7" i="2"/>
  <c r="F7" i="2"/>
  <c r="W6" i="2"/>
  <c r="AA6" i="2" s="1"/>
  <c r="AB6" i="2" s="1"/>
  <c r="AC6" i="2" s="1"/>
  <c r="U6" i="2"/>
  <c r="H6" i="2"/>
  <c r="F6" i="2"/>
  <c r="W5" i="2"/>
  <c r="AA5" i="2" s="1"/>
  <c r="AB5" i="2" s="1"/>
  <c r="AC5" i="2" s="1"/>
  <c r="U5" i="2"/>
  <c r="H5" i="2"/>
  <c r="H10" i="2" s="1"/>
  <c r="F5" i="2"/>
  <c r="X4" i="2"/>
  <c r="Y4" i="2" s="1"/>
  <c r="W4" i="2"/>
  <c r="AA4" i="2" s="1"/>
  <c r="AB4" i="2" s="1"/>
  <c r="AC4" i="2" s="1"/>
  <c r="U4" i="2"/>
  <c r="H4" i="2"/>
  <c r="F4" i="2"/>
  <c r="W3" i="2"/>
  <c r="X3" i="2" s="1"/>
  <c r="Y3" i="2" s="1"/>
  <c r="U3" i="2"/>
  <c r="H3" i="2"/>
  <c r="F3" i="2"/>
  <c r="V5" i="5" l="1"/>
  <c r="V7" i="5"/>
  <c r="V8" i="5"/>
  <c r="V4" i="5"/>
  <c r="V3" i="5"/>
  <c r="V6" i="5"/>
  <c r="X5" i="5"/>
  <c r="Y5" i="5" s="1"/>
  <c r="X3" i="5"/>
  <c r="Y3" i="5" s="1"/>
  <c r="AA6" i="5"/>
  <c r="AB6" i="5" s="1"/>
  <c r="AC6" i="5" s="1"/>
  <c r="AC10" i="5" s="1"/>
  <c r="X7" i="5"/>
  <c r="Y7" i="5" s="1"/>
  <c r="V5" i="4"/>
  <c r="V8" i="4"/>
  <c r="V4" i="4"/>
  <c r="V7" i="4"/>
  <c r="V3" i="4"/>
  <c r="V6" i="4"/>
  <c r="AA5" i="4"/>
  <c r="AB5" i="4" s="1"/>
  <c r="AC5" i="4" s="1"/>
  <c r="AC10" i="4" s="1"/>
  <c r="X6" i="4"/>
  <c r="Y6" i="4" s="1"/>
  <c r="X3" i="4"/>
  <c r="Y3" i="4" s="1"/>
  <c r="X7" i="4"/>
  <c r="Y7" i="4" s="1"/>
  <c r="X5" i="2"/>
  <c r="Y5" i="2" s="1"/>
  <c r="V6" i="2"/>
  <c r="AA3" i="2"/>
  <c r="AB3" i="2" s="1"/>
  <c r="AC3" i="2" s="1"/>
  <c r="V5" i="2"/>
  <c r="AA7" i="2"/>
  <c r="AB7" i="2" s="1"/>
  <c r="AC7" i="2" s="1"/>
  <c r="V3" i="2"/>
  <c r="X6" i="2"/>
  <c r="Y6" i="2" s="1"/>
  <c r="V7" i="2"/>
  <c r="V4" i="2"/>
  <c r="F10" i="1"/>
  <c r="D10" i="1"/>
  <c r="AC10" i="2" l="1"/>
  <c r="W4" i="1"/>
  <c r="X4" i="1" s="1"/>
  <c r="Y4" i="1" s="1"/>
  <c r="W3" i="1"/>
  <c r="X3" i="1" s="1"/>
  <c r="Y3" i="1" s="1"/>
  <c r="W5" i="1"/>
  <c r="X5" i="1" s="1"/>
  <c r="Y5" i="1" s="1"/>
  <c r="W6" i="1"/>
  <c r="X6" i="1" s="1"/>
  <c r="Y6" i="1" s="1"/>
  <c r="W7" i="1"/>
  <c r="X7" i="1" s="1"/>
  <c r="Y7" i="1" s="1"/>
  <c r="W8" i="1"/>
  <c r="X8" i="1" s="1"/>
  <c r="Y8" i="1" s="1"/>
  <c r="U5" i="1"/>
  <c r="U3" i="1"/>
  <c r="U6" i="1"/>
  <c r="U8" i="1"/>
  <c r="U4" i="1"/>
  <c r="U7" i="1"/>
  <c r="H5" i="1"/>
  <c r="H3" i="1"/>
  <c r="H6" i="1"/>
  <c r="H8" i="1"/>
  <c r="H4" i="1"/>
  <c r="H7" i="1"/>
  <c r="F7" i="1"/>
  <c r="F4" i="1"/>
  <c r="F8" i="1"/>
  <c r="F6" i="1"/>
  <c r="F3" i="1"/>
  <c r="F5" i="1"/>
  <c r="AA5" i="1" l="1"/>
  <c r="AB5" i="1" s="1"/>
  <c r="AC5" i="1" s="1"/>
  <c r="AA4" i="1"/>
  <c r="AB4" i="1" s="1"/>
  <c r="AC4" i="1" s="1"/>
  <c r="AA3" i="1"/>
  <c r="AB3" i="1" s="1"/>
  <c r="AC3" i="1" s="1"/>
  <c r="AA8" i="1"/>
  <c r="AB8" i="1" s="1"/>
  <c r="AC8" i="1" s="1"/>
  <c r="AA7" i="1"/>
  <c r="AB7" i="1" s="1"/>
  <c r="AC7" i="1" s="1"/>
  <c r="AA6" i="1"/>
  <c r="AB6" i="1" s="1"/>
  <c r="AC6" i="1" s="1"/>
  <c r="U10" i="1"/>
  <c r="V3" i="1" s="1"/>
  <c r="H10" i="1"/>
  <c r="AC10" i="1" l="1"/>
  <c r="V4" i="1"/>
  <c r="V6" i="1"/>
  <c r="V8" i="1"/>
  <c r="V7" i="1"/>
  <c r="V5" i="1"/>
</calcChain>
</file>

<file path=xl/comments1.xml><?xml version="1.0" encoding="utf-8"?>
<comments xmlns="http://schemas.openxmlformats.org/spreadsheetml/2006/main">
  <authors>
    <author>Autor</author>
  </authors>
  <commentList>
    <comment ref="Z2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TIEMPO QUE TARDA EL PROVEEDOR 
</t>
        </r>
      </text>
    </comment>
    <comment ref="AA2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cuanto debo tener para abastecer el promedio de ventas mensual 
</t>
        </r>
      </text>
    </comment>
    <comment ref="AB2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CUANTOS PRODUCTOS COMPRAR EN TOTAL 
SOLO LO NEGATIVO COMPRO 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Z2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TIEMPO QUE TARDA EL PROVEEDOR 
</t>
        </r>
      </text>
    </comment>
    <comment ref="AA2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cuanto debo tener para abastecer el promedio de ventas mensual 
</t>
        </r>
      </text>
    </comment>
    <comment ref="AB2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CUANTOS PRODUCTOS COMPRAR EN TOTAL 
SOLO LO NEGATIVO COMPRO 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Z2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TIEMPO QUE TARDA EL PROVEEDOR 
</t>
        </r>
      </text>
    </comment>
    <comment ref="AA2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cuanto debo tener para abastecer el promedio de ventas mensual 
</t>
        </r>
      </text>
    </comment>
    <comment ref="AB2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CUANTOS PRODUCTOS COMPRAR EN TOTAL 
SOLO LO NEGATIVO COMPRO 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Z2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TIEMPO QUE TARDA EL PROVEEDOR 
</t>
        </r>
      </text>
    </comment>
    <comment ref="AA2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cuanto debo tener para abastecer el promedio de ventas mensual 
</t>
        </r>
      </text>
    </comment>
    <comment ref="AB2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CUANTOS PRODUCTOS COMPRAR EN TOTAL 
SOLO LO NEGATIVO COMPRO 
</t>
        </r>
      </text>
    </comment>
  </commentList>
</comments>
</file>

<file path=xl/sharedStrings.xml><?xml version="1.0" encoding="utf-8"?>
<sst xmlns="http://schemas.openxmlformats.org/spreadsheetml/2006/main" count="204" uniqueCount="46">
  <si>
    <t xml:space="preserve">INFORMACION DEL PRODUCTO </t>
  </si>
  <si>
    <t xml:space="preserve">CODIGOS </t>
  </si>
  <si>
    <t xml:space="preserve">DESCRIPCION </t>
  </si>
  <si>
    <t xml:space="preserve">UNIDAD </t>
  </si>
  <si>
    <t xml:space="preserve">SALDOS </t>
  </si>
  <si>
    <t xml:space="preserve">$/UNIDAD </t>
  </si>
  <si>
    <t xml:space="preserve">COSTO TOTAL </t>
  </si>
  <si>
    <t xml:space="preserve">VOLUMEN </t>
  </si>
  <si>
    <t>FAM-001</t>
  </si>
  <si>
    <t xml:space="preserve">FILTRO DE ACEITE 966 </t>
  </si>
  <si>
    <t xml:space="preserve">UNITARIO </t>
  </si>
  <si>
    <t>BMN-002</t>
  </si>
  <si>
    <t xml:space="preserve">BUJIAS NORMALES DE PLATINO </t>
  </si>
  <si>
    <t>PFA-003</t>
  </si>
  <si>
    <t xml:space="preserve">JUEGO DE PASTILLAS DE FRENO AVEO </t>
  </si>
  <si>
    <t>FAIM-0034</t>
  </si>
  <si>
    <t xml:space="preserve">FILTRO DE AIRE MOTOR HILUX  FORTUNER </t>
  </si>
  <si>
    <t>FGAS-023</t>
  </si>
  <si>
    <t xml:space="preserve">FILTRO DE GASOLINA METALICO UNIVERSAL </t>
  </si>
  <si>
    <t>CDB-100</t>
  </si>
  <si>
    <t xml:space="preserve">JUEGO CABLES DE BUJIA UNIVERSAL </t>
  </si>
  <si>
    <t xml:space="preserve">TOTAL </t>
  </si>
  <si>
    <t xml:space="preserve">VENTAS ANUALES </t>
  </si>
  <si>
    <t xml:space="preserve">VOLUMEN TOTAL 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</si>
  <si>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</si>
  <si>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</si>
  <si>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</si>
  <si>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</si>
  <si>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</si>
  <si>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</si>
  <si>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</si>
  <si>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</si>
  <si>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</si>
  <si>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</si>
  <si>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</si>
  <si>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</si>
  <si>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VENDIDO</t>
  </si>
  <si>
    <t xml:space="preserve">%VENTAS </t>
  </si>
  <si>
    <t xml:space="preserve">INVENTARIO MINIMO </t>
  </si>
  <si>
    <t xml:space="preserve">CONSUMO DIARIO </t>
  </si>
  <si>
    <t xml:space="preserve">SALDO ACTUAL DE INVENTARIO EN DIAS </t>
  </si>
  <si>
    <t xml:space="preserve">DIAS REABASTESIMINETO </t>
  </si>
  <si>
    <t xml:space="preserve">INVENTARIO OPTIMO </t>
  </si>
  <si>
    <t xml:space="preserve">ANALISIS ESTADISTICO </t>
  </si>
  <si>
    <t xml:space="preserve">PRODUCTOS A COMPRAR </t>
  </si>
  <si>
    <t xml:space="preserve">VALOR A COMPRAR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</si>
</sst>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44" fontId="0" fillId="0" borderId="0" xfId="2" applyFont="1" applyAlignment="1">
      <alignment wrapText="1"/>
    </xf>
    <xf numFmtId="9" fontId="0" fillId="0" borderId="0" xfId="3" applyFont="1" applyAlignment="1">
      <alignment wrapText="1"/>
    </xf>
    <xf numFmtId="1" fontId="0" fillId="0" borderId="0" xfId="0" applyNumberFormat="1" applyAlignment="1">
      <alignment wrapText="1"/>
    </xf>
    <xf numFmtId="164" fontId="0" fillId="0" borderId="0" xfId="1" applyNumberFormat="1" applyFont="1" applyAlignment="1">
      <alignment wrapText="1"/>
    </xf>
    <xf numFmtId="2" fontId="0" fillId="0" borderId="0" xfId="0" applyNumberFormat="1"/>
    <xf numFmtId="0" fontId="0" fillId="0" borderId="0" xfId="0" applyAlignment="1">
      <alignment horizontal="center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124">
    <dxf>
      <numFmt numFmtId="1" formatCode="0"/>
      <alignment horizontal="general" vertical="bottom" textRotation="0" wrapText="1" indent="0" justifyLastLine="0" shrinkToFit="0" readingOrder="0"/>
    </dxf>
    <dxf>
      <numFmt numFmtId="1" formatCode="0"/>
      <alignment horizontal="general" vertical="bottom" textRotation="0" wrapText="1" indent="0" justifyLastLine="0" shrinkToFit="0" readingOrder="0"/>
    </dxf>
    <dxf>
      <numFmt numFmtId="1" formatCode="0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" formatCode="0"/>
      <alignment horizontal="general" vertical="bottom" textRotation="0" wrapText="1" indent="0" justifyLastLine="0" shrinkToFit="0" readingOrder="0"/>
    </dxf>
    <dxf>
      <numFmt numFmtId="1" formatCode="0"/>
      <alignment horizontal="general" vertical="bottom" textRotation="0" wrapText="1" indent="0" justifyLastLine="0" shrinkToFit="0" readingOrder="0"/>
    </dxf>
    <dxf>
      <numFmt numFmtId="164" formatCode="0_ ;\-0\ 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>
          <bgColor rgb="FFFFC7CE"/>
        </patternFill>
      </fill>
    </dxf>
    <dxf>
      <numFmt numFmtId="1" formatCode="0"/>
      <alignment horizontal="general" vertical="bottom" textRotation="0" wrapText="1" indent="0" justifyLastLine="0" shrinkToFit="0" readingOrder="0"/>
    </dxf>
    <dxf>
      <numFmt numFmtId="1" formatCode="0"/>
      <alignment horizontal="general" vertical="bottom" textRotation="0" wrapText="1" indent="0" justifyLastLine="0" shrinkToFit="0" readingOrder="0"/>
    </dxf>
    <dxf>
      <numFmt numFmtId="1" formatCode="0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" formatCode="0"/>
      <alignment horizontal="general" vertical="bottom" textRotation="0" wrapText="1" indent="0" justifyLastLine="0" shrinkToFit="0" readingOrder="0"/>
    </dxf>
    <dxf>
      <numFmt numFmtId="1" formatCode="0"/>
      <alignment horizontal="general" vertical="bottom" textRotation="0" wrapText="1" indent="0" justifyLastLine="0" shrinkToFit="0" readingOrder="0"/>
    </dxf>
    <dxf>
      <numFmt numFmtId="164" formatCode="0_ ;\-0\ 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>
          <bgColor rgb="FFFFC7CE"/>
        </patternFill>
      </fill>
    </dxf>
    <dxf>
      <numFmt numFmtId="1" formatCode="0"/>
      <alignment horizontal="general" vertical="bottom" textRotation="0" wrapText="1" indent="0" justifyLastLine="0" shrinkToFit="0" readingOrder="0"/>
    </dxf>
    <dxf>
      <numFmt numFmtId="1" formatCode="0"/>
      <alignment horizontal="general" vertical="bottom" textRotation="0" wrapText="1" indent="0" justifyLastLine="0" shrinkToFit="0" readingOrder="0"/>
    </dxf>
    <dxf>
      <numFmt numFmtId="1" formatCode="0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" formatCode="0"/>
      <alignment horizontal="general" vertical="bottom" textRotation="0" wrapText="1" indent="0" justifyLastLine="0" shrinkToFit="0" readingOrder="0"/>
    </dxf>
    <dxf>
      <numFmt numFmtId="1" formatCode="0"/>
      <alignment horizontal="general" vertical="bottom" textRotation="0" wrapText="1" indent="0" justifyLastLine="0" shrinkToFit="0" readingOrder="0"/>
    </dxf>
    <dxf>
      <numFmt numFmtId="164" formatCode="0_ ;\-0\ 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>
          <bgColor rgb="FFFFC7CE"/>
        </patternFill>
      </fill>
    </dxf>
    <dxf>
      <numFmt numFmtId="1" formatCode="0"/>
      <alignment horizontal="general" vertical="bottom" textRotation="0" wrapText="1" indent="0" justifyLastLine="0" shrinkToFit="0" readingOrder="0"/>
    </dxf>
    <dxf>
      <numFmt numFmtId="1" formatCode="0"/>
      <alignment horizontal="general" vertical="bottom" textRotation="0" wrapText="1" indent="0" justifyLastLine="0" shrinkToFit="0" readingOrder="0"/>
    </dxf>
    <dxf>
      <numFmt numFmtId="1" formatCode="0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" formatCode="0"/>
      <alignment horizontal="general" vertical="bottom" textRotation="0" wrapText="1" indent="0" justifyLastLine="0" shrinkToFit="0" readingOrder="0"/>
    </dxf>
    <dxf>
      <numFmt numFmtId="1" formatCode="0"/>
      <alignment horizontal="general" vertical="bottom" textRotation="0" wrapText="1" indent="0" justifyLastLine="0" shrinkToFit="0" readingOrder="0"/>
    </dxf>
    <dxf>
      <numFmt numFmtId="164" formatCode="0_ ;\-0\ 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a1" displayName="Tabla1" ref="A2:AC8" totalsRowShown="0" dataDxfId="122">
  <autoFilter ref="A2:AC8"/>
  <sortState ref="A3:U8">
    <sortCondition descending="1" ref="U3"/>
  </sortState>
  <tableColumns count="29">
    <tableColumn id="1" name="CODIGOS " dataDxfId="121"/>
    <tableColumn id="2" name="DESCRIPCION " dataDxfId="120"/>
    <tableColumn id="3" name="UNIDAD " dataDxfId="119"/>
    <tableColumn id="4" name="SALDOS " dataDxfId="118"/>
    <tableColumn id="5" name="$/UNIDAD " dataDxfId="117" dataCellStyle="Moneda"/>
    <tableColumn id="6" name="COSTO TOTAL " dataDxfId="116" dataCellStyle="Moneda">
      <calculatedColumnFormula>Tabla1[[SALDOS ]]*Tabla1[$/UNIDAD ]</calculatedColumnFormula>
    </tableColumn>
    <tableColumn id="7" name="VOLUMEN " dataDxfId="115"/>
    <tableColumn id="8" name="VOLUMEN TOTAL " dataDxfId="114">
      <calculatedColumnFormula>Tabla1[[#This Row],[SALDOS ]]*Tabla1[[#This Row],[VOLUMEN ]]</calculatedColumnFormula>
    </tableColumn>
    <tableColumn id="9" name="ENERO " dataDxfId="113"/>
    <tableColumn id="10" name="FEBRERO" dataDxfId="112"/>
    <tableColumn id="11" name="MARZO" dataDxfId="111"/>
    <tableColumn id="12" name="ABRIL" dataDxfId="110"/>
    <tableColumn id="13" name="MAYO" dataDxfId="109"/>
    <tableColumn id="14" name="JUNIO" dataDxfId="108"/>
    <tableColumn id="15" name="JULIO" dataDxfId="107"/>
    <tableColumn id="16" name="AGOSTO" dataDxfId="106"/>
    <tableColumn id="17" name="SEPTIEMBRE" dataDxfId="105"/>
    <tableColumn id="18" name="OCTUBRE" dataDxfId="104"/>
    <tableColumn id="19" name="NOVIEMBRE" dataDxfId="103"/>
    <tableColumn id="20" name="DICIEMBRE" dataDxfId="102"/>
    <tableColumn id="21" name="TOTAL VENDIDO" dataDxfId="101">
      <calculatedColumnFormula>SUM(Tabla1[[#This Row],[ENERO ]:[DICIEMBRE]])</calculatedColumnFormula>
    </tableColumn>
    <tableColumn id="22" name="%VENTAS " dataDxfId="100" dataCellStyle="Porcentaje">
      <calculatedColumnFormula>Tabla1[[#This Row],[TOTAL VENDIDO]]/U$10</calculatedColumnFormula>
    </tableColumn>
    <tableColumn id="23" name="INVENTARIO MINIMO " dataDxfId="99" dataCellStyle="Millares">
      <calculatedColumnFormula>AVERAGE(Tabla1[[#This Row],[ENERO ]:[DICIEMBRE]])</calculatedColumnFormula>
    </tableColumn>
    <tableColumn id="24" name="CONSUMO DIARIO " dataDxfId="98">
      <calculatedColumnFormula>Tabla1[[#This Row],[INVENTARIO MINIMO ]]/24</calculatedColumnFormula>
    </tableColumn>
    <tableColumn id="25" name="SALDO ACTUAL DE INVENTARIO EN DIAS " dataDxfId="97">
      <calculatedColumnFormula>Tabla1[[#This Row],[SALDOS ]]/Tabla1[[#This Row],[CONSUMO DIARIO ]]</calculatedColumnFormula>
    </tableColumn>
    <tableColumn id="26" name="DIAS REABASTESIMINETO " dataDxfId="96"/>
    <tableColumn id="27" name="INVENTARIO OPTIMO " dataDxfId="95">
      <calculatedColumnFormula>(Tabla1[[#This Row],[INVENTARIO MINIMO ]]*Tabla1[[#This Row],[DIAS REABASTESIMINETO ]])/30</calculatedColumnFormula>
    </tableColumn>
    <tableColumn id="28" name="PRODUCTOS A COMPRAR " dataDxfId="94">
      <calculatedColumnFormula>Tabla1[[#This Row],[SALDOS ]]-Tabla1[[#This Row],[INVENTARIO OPTIMO ]]</calculatedColumnFormula>
    </tableColumn>
    <tableColumn id="29" name="VALOR A COMPRAR " dataDxfId="93">
      <calculatedColumnFormula>IF(Tabla1[[#This Row],[PRODUCTOS A COMPRAR ]]&lt;0,Tabla1[[#This Row],[PRODUCTOS A COMPRAR ]]*Tabla1[[#This Row],[$/UNIDAD ]]*-1,0)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a13" displayName="Tabla13" ref="A2:AC8" totalsRowShown="0" dataDxfId="91">
  <autoFilter ref="A2:AC8"/>
  <sortState ref="A3:U8">
    <sortCondition descending="1" ref="U3"/>
  </sortState>
  <tableColumns count="29">
    <tableColumn id="1" name="CODIGOS " dataDxfId="90"/>
    <tableColumn id="2" name="DESCRIPCION " dataDxfId="89"/>
    <tableColumn id="3" name="UNIDAD " dataDxfId="88"/>
    <tableColumn id="4" name="SALDOS " dataDxfId="87"/>
    <tableColumn id="5" name="$/UNIDAD " dataDxfId="86" dataCellStyle="Moneda"/>
    <tableColumn id="6" name="COSTO TOTAL " dataDxfId="85" dataCellStyle="Moneda">
      <calculatedColumnFormula>Tabla13[[SALDOS ]]*Tabla13[$/UNIDAD ]</calculatedColumnFormula>
    </tableColumn>
    <tableColumn id="7" name="VOLUMEN " dataDxfId="84"/>
    <tableColumn id="8" name="VOLUMEN TOTAL " dataDxfId="83">
      <calculatedColumnFormula>Tabla13[[#This Row],[SALDOS ]]*Tabla13[[#This Row],[VOLUMEN ]]</calculatedColumnFormula>
    </tableColumn>
    <tableColumn id="9" name="ENERO " dataDxfId="82"/>
    <tableColumn id="10" name="FEBRERO" dataDxfId="81"/>
    <tableColumn id="11" name="MARZO" dataDxfId="80"/>
    <tableColumn id="12" name="ABRIL" dataDxfId="79"/>
    <tableColumn id="13" name="MAYO" dataDxfId="78"/>
    <tableColumn id="14" name="JUNIO" dataDxfId="77"/>
    <tableColumn id="15" name="JULIO" dataDxfId="76"/>
    <tableColumn id="16" name="AGOSTO" dataDxfId="75"/>
    <tableColumn id="17" name="SEPTIEMBRE" dataDxfId="74"/>
    <tableColumn id="18" name="OCTUBRE" dataDxfId="73"/>
    <tableColumn id="19" name="NOVIEMBRE" dataDxfId="72"/>
    <tableColumn id="20" name="DICIEMBRE" dataDxfId="71"/>
    <tableColumn id="21" name="TOTAL VENDIDO" dataDxfId="70">
      <calculatedColumnFormula>SUM(Tabla13[[#This Row],[ENERO ]:[DICIEMBRE]])</calculatedColumnFormula>
    </tableColumn>
    <tableColumn id="22" name="%VENTAS " dataDxfId="69" dataCellStyle="Porcentaje">
      <calculatedColumnFormula>Tabla13[[#This Row],[TOTAL VENDIDO]]/U$10</calculatedColumnFormula>
    </tableColumn>
    <tableColumn id="23" name="INVENTARIO MINIMO " dataDxfId="68" dataCellStyle="Millares">
      <calculatedColumnFormula>AVERAGE(Tabla13[[#This Row],[ENERO ]:[DICIEMBRE]])</calculatedColumnFormula>
    </tableColumn>
    <tableColumn id="24" name="CONSUMO DIARIO " dataDxfId="67">
      <calculatedColumnFormula>Tabla13[[#This Row],[INVENTARIO MINIMO ]]/24</calculatedColumnFormula>
    </tableColumn>
    <tableColumn id="25" name="SALDO ACTUAL DE INVENTARIO EN DIAS " dataDxfId="66">
      <calculatedColumnFormula>Tabla13[[#This Row],[SALDOS ]]/Tabla13[[#This Row],[CONSUMO DIARIO ]]</calculatedColumnFormula>
    </tableColumn>
    <tableColumn id="26" name="DIAS REABASTESIMINETO " dataDxfId="65"/>
    <tableColumn id="27" name="INVENTARIO OPTIMO " dataDxfId="64">
      <calculatedColumnFormula>(Tabla13[[#This Row],[INVENTARIO MINIMO ]]*Tabla13[[#This Row],[DIAS REABASTESIMINETO ]])/30</calculatedColumnFormula>
    </tableColumn>
    <tableColumn id="28" name="PRODUCTOS A COMPRAR " dataDxfId="63">
      <calculatedColumnFormula>Tabla13[[#This Row],[SALDOS ]]-Tabla13[[#This Row],[INVENTARIO OPTIMO ]]</calculatedColumnFormula>
    </tableColumn>
    <tableColumn id="29" name="VALOR A COMPRAR " dataDxfId="62">
      <calculatedColumnFormula>IF(Tabla13[[#This Row],[PRODUCTOS A COMPRAR ]]&lt;0,Tabla13[[#This Row],[PRODUCTOS A COMPRAR ]]*Tabla13[[#This Row],[$/UNIDAD ]]*-1,0)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a134" displayName="Tabla134" ref="A2:AC8" totalsRowShown="0" dataDxfId="60">
  <autoFilter ref="A2:AC8"/>
  <sortState ref="A3:U8">
    <sortCondition descending="1" ref="U3"/>
  </sortState>
  <tableColumns count="29">
    <tableColumn id="1" name="CODIGOS " dataDxfId="59"/>
    <tableColumn id="2" name="DESCRIPCION " dataDxfId="58"/>
    <tableColumn id="3" name="UNIDAD " dataDxfId="57"/>
    <tableColumn id="4" name="SALDOS " dataDxfId="56"/>
    <tableColumn id="5" name="$/UNIDAD " dataDxfId="55" dataCellStyle="Moneda"/>
    <tableColumn id="6" name="COSTO TOTAL " dataDxfId="54" dataCellStyle="Moneda">
      <calculatedColumnFormula>Tabla134[[SALDOS ]]*Tabla134[$/UNIDAD ]</calculatedColumnFormula>
    </tableColumn>
    <tableColumn id="7" name="VOLUMEN " dataDxfId="53"/>
    <tableColumn id="8" name="VOLUMEN TOTAL " dataDxfId="52">
      <calculatedColumnFormula>Tabla134[[#This Row],[SALDOS ]]*Tabla134[[#This Row],[VOLUMEN ]]</calculatedColumnFormula>
    </tableColumn>
    <tableColumn id="9" name="ENERO " dataDxfId="51"/>
    <tableColumn id="10" name="FEBRERO" dataDxfId="50"/>
    <tableColumn id="11" name="MARZO" dataDxfId="49"/>
    <tableColumn id="12" name="ABRIL" dataDxfId="48"/>
    <tableColumn id="13" name="MAYO" dataDxfId="47"/>
    <tableColumn id="14" name="JUNIO" dataDxfId="46"/>
    <tableColumn id="15" name="JULIO" dataDxfId="45"/>
    <tableColumn id="16" name="AGOSTO" dataDxfId="44"/>
    <tableColumn id="17" name="SEPTIEMBRE" dataDxfId="43"/>
    <tableColumn id="18" name="OCTUBRE" dataDxfId="42"/>
    <tableColumn id="19" name="NOVIEMBRE" dataDxfId="41"/>
    <tableColumn id="20" name="DICIEMBRE" dataDxfId="40"/>
    <tableColumn id="21" name="TOTAL VENDIDO" dataDxfId="39">
      <calculatedColumnFormula>SUM(Tabla134[[#This Row],[ENERO ]:[DICIEMBRE]])</calculatedColumnFormula>
    </tableColumn>
    <tableColumn id="22" name="%VENTAS " dataDxfId="38" dataCellStyle="Porcentaje">
      <calculatedColumnFormula>Tabla134[[#This Row],[TOTAL VENDIDO]]/U$10</calculatedColumnFormula>
    </tableColumn>
    <tableColumn id="23" name="INVENTARIO MINIMO " dataDxfId="37" dataCellStyle="Millares">
      <calculatedColumnFormula>AVERAGE(Tabla134[[#This Row],[ENERO ]:[DICIEMBRE]])</calculatedColumnFormula>
    </tableColumn>
    <tableColumn id="24" name="CONSUMO DIARIO " dataDxfId="36">
      <calculatedColumnFormula>Tabla134[[#This Row],[INVENTARIO MINIMO ]]/24</calculatedColumnFormula>
    </tableColumn>
    <tableColumn id="25" name="SALDO ACTUAL DE INVENTARIO EN DIAS " dataDxfId="35">
      <calculatedColumnFormula>Tabla134[[#This Row],[SALDOS ]]/Tabla134[[#This Row],[CONSUMO DIARIO ]]</calculatedColumnFormula>
    </tableColumn>
    <tableColumn id="26" name="DIAS REABASTESIMINETO " dataDxfId="34"/>
    <tableColumn id="27" name="INVENTARIO OPTIMO " dataDxfId="33">
      <calculatedColumnFormula>(Tabla134[[#This Row],[INVENTARIO MINIMO ]]*Tabla134[[#This Row],[DIAS REABASTESIMINETO ]])/30</calculatedColumnFormula>
    </tableColumn>
    <tableColumn id="28" name="PRODUCTOS A COMPRAR " dataDxfId="32">
      <calculatedColumnFormula>Tabla134[[#This Row],[SALDOS ]]-Tabla134[[#This Row],[INVENTARIO OPTIMO ]]</calculatedColumnFormula>
    </tableColumn>
    <tableColumn id="29" name="VALOR A COMPRAR " dataDxfId="31">
      <calculatedColumnFormula>IF(Tabla134[[#This Row],[PRODUCTOS A COMPRAR ]]&lt;0,Tabla134[[#This Row],[PRODUCTOS A COMPRAR ]]*Tabla134[[#This Row],[$/UNIDAD ]]*-1,0)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a1345" displayName="Tabla1345" ref="A2:AC8" totalsRowShown="0" dataDxfId="29">
  <autoFilter ref="A2:AC8"/>
  <sortState ref="A3:U8">
    <sortCondition descending="1" ref="U3"/>
  </sortState>
  <tableColumns count="29">
    <tableColumn id="1" name="CODIGOS " dataDxfId="28"/>
    <tableColumn id="2" name="DESCRIPCION " dataDxfId="27"/>
    <tableColumn id="3" name="UNIDAD " dataDxfId="26"/>
    <tableColumn id="4" name="SALDOS " dataDxfId="25"/>
    <tableColumn id="5" name="$/UNIDAD " dataDxfId="24" dataCellStyle="Moneda"/>
    <tableColumn id="6" name="COSTO TOTAL " dataDxfId="23" dataCellStyle="Moneda">
      <calculatedColumnFormula>Tabla1345[[SALDOS ]]*Tabla1345[$/UNIDAD ]</calculatedColumnFormula>
    </tableColumn>
    <tableColumn id="7" name="VOLUMEN " dataDxfId="22"/>
    <tableColumn id="8" name="VOLUMEN TOTAL " dataDxfId="21">
      <calculatedColumnFormula>Tabla1345[[#This Row],[SALDOS ]]*Tabla1345[[#This Row],[VOLUMEN ]]</calculatedColumnFormula>
    </tableColumn>
    <tableColumn id="9" name="ENERO " dataDxfId="20"/>
    <tableColumn id="10" name="FEBRERO" dataDxfId="19"/>
    <tableColumn id="11" name="MARZO" dataDxfId="18"/>
    <tableColumn id="12" name="ABRIL" dataDxfId="17"/>
    <tableColumn id="13" name="MAYO" dataDxfId="16"/>
    <tableColumn id="14" name="JUNIO" dataDxfId="15"/>
    <tableColumn id="15" name="JULIO" dataDxfId="14"/>
    <tableColumn id="16" name="AGOSTO" dataDxfId="13"/>
    <tableColumn id="17" name="SEPTIEMBRE" dataDxfId="12"/>
    <tableColumn id="18" name="OCTUBRE" dataDxfId="11"/>
    <tableColumn id="19" name="NOVIEMBRE" dataDxfId="10"/>
    <tableColumn id="20" name="DICIEMBRE" dataDxfId="9"/>
    <tableColumn id="21" name="TOTAL VENDIDO" dataDxfId="8">
      <calculatedColumnFormula>SUM(Tabla1345[[#This Row],[ENERO ]:[DICIEMBRE]])</calculatedColumnFormula>
    </tableColumn>
    <tableColumn id="22" name="%VENTAS " dataDxfId="7" dataCellStyle="Porcentaje">
      <calculatedColumnFormula>Tabla1345[[#This Row],[TOTAL VENDIDO]]/U$10</calculatedColumnFormula>
    </tableColumn>
    <tableColumn id="23" name="INVENTARIO MINIMO " dataDxfId="6" dataCellStyle="Millares">
      <calculatedColumnFormula>AVERAGE(Tabla1345[[#This Row],[ENERO ]:[DICIEMBRE]])</calculatedColumnFormula>
    </tableColumn>
    <tableColumn id="24" name="CONSUMO DIARIO " dataDxfId="5">
      <calculatedColumnFormula>Tabla1345[[#This Row],[INVENTARIO MINIMO ]]/24</calculatedColumnFormula>
    </tableColumn>
    <tableColumn id="25" name="SALDO ACTUAL DE INVENTARIO EN DIAS " dataDxfId="4">
      <calculatedColumnFormula>Tabla1345[[#This Row],[SALDOS ]]/Tabla1345[[#This Row],[CONSUMO DIARIO ]]</calculatedColumnFormula>
    </tableColumn>
    <tableColumn id="26" name="DIAS REABASTESIMINETO " dataDxfId="3"/>
    <tableColumn id="27" name="INVENTARIO OPTIMO " dataDxfId="2">
      <calculatedColumnFormula>(Tabla1345[[#This Row],[INVENTARIO MINIMO ]]*Tabla1345[[#This Row],[DIAS REABASTESIMINETO ]])/30</calculatedColumnFormula>
    </tableColumn>
    <tableColumn id="28" name="PRODUCTOS A COMPRAR " dataDxfId="1">
      <calculatedColumnFormula>Tabla1345[[#This Row],[SALDOS ]]-Tabla1345[[#This Row],[INVENTARIO OPTIMO ]]</calculatedColumnFormula>
    </tableColumn>
    <tableColumn id="29" name="VALOR A COMPRAR " dataDxfId="0">
      <calculatedColumnFormula>IF(Tabla1345[[#This Row],[PRODUCTOS A COMPRAR ]]&lt;0,Tabla1345[[#This Row],[PRODUCTOS A COMPRAR ]]*Tabla1345[[#This Row],[$/UNIDAD ]]*-1,0)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table" Target="../tables/table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table" Target="../tables/table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table" Target="../tables/table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10"/>
  <sheetViews>
    <sheetView topLeftCell="S1" zoomScale="85" zoomScaleNormal="85" workbookViewId="0">
      <selection activeCell="Z3" sqref="Z3:Z8"/>
    </sheetView>
  </sheetViews>
  <sheetFormatPr baseColWidth="10" defaultColWidth="9.7109375" defaultRowHeight="15" x14ac:dyDescent="0.25"/>
  <cols>
    <col min="1" max="1" width="11.85546875" customWidth="1"/>
    <col min="2" max="2" width="19.85546875" customWidth="1"/>
    <col min="3" max="3" width="10.85546875" customWidth="1"/>
    <col min="4" max="4" width="10.42578125" customWidth="1"/>
    <col min="5" max="5" width="12.7109375" customWidth="1"/>
    <col min="6" max="6" width="15.5703125" customWidth="1"/>
    <col min="7" max="7" width="13" bestFit="1" customWidth="1"/>
    <col min="8" max="8" width="19" bestFit="1" customWidth="1"/>
    <col min="9" max="9" width="17.140625" bestFit="1" customWidth="1"/>
    <col min="10" max="10" width="11.140625" bestFit="1" customWidth="1"/>
    <col min="11" max="11" width="10" bestFit="1" customWidth="1"/>
    <col min="12" max="12" width="8.28515625" customWidth="1"/>
    <col min="13" max="13" width="9" customWidth="1"/>
    <col min="14" max="14" width="8.85546875" customWidth="1"/>
    <col min="15" max="15" width="8.28515625" customWidth="1"/>
    <col min="16" max="16" width="10.85546875" bestFit="1" customWidth="1"/>
    <col min="17" max="17" width="13.140625" bestFit="1" customWidth="1"/>
    <col min="18" max="18" width="11.5703125" bestFit="1" customWidth="1"/>
    <col min="19" max="19" width="13.140625" bestFit="1" customWidth="1"/>
    <col min="20" max="20" width="13" bestFit="1" customWidth="1"/>
    <col min="22" max="22" width="10.5703125" bestFit="1" customWidth="1"/>
    <col min="23" max="23" width="23.140625" bestFit="1" customWidth="1"/>
    <col min="24" max="24" width="20.28515625" bestFit="1" customWidth="1"/>
    <col min="25" max="25" width="15.5703125" customWidth="1"/>
    <col min="26" max="26" width="21.5703125" bestFit="1" customWidth="1"/>
    <col min="27" max="27" width="22.85546875" bestFit="1" customWidth="1"/>
    <col min="28" max="28" width="26.28515625" bestFit="1" customWidth="1"/>
    <col min="29" max="29" width="21.140625" bestFit="1" customWidth="1"/>
  </cols>
  <sheetData>
    <row r="1" spans="1:29" x14ac:dyDescent="0.25">
      <c r="A1" t="s">
        <v>0</v>
      </c>
      <c r="I1" t="s">
        <v>22</v>
      </c>
      <c r="U1" s="7" t="s">
        <v>43</v>
      </c>
      <c r="V1" s="7"/>
      <c r="W1" s="7"/>
      <c r="X1" s="7"/>
      <c r="Y1" s="7"/>
      <c r="Z1" s="7"/>
      <c r="AA1" s="7"/>
    </row>
    <row r="2" spans="1:29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  <c r="N2" s="1" t="s">
        <v>29</v>
      </c>
      <c r="O2" s="1" t="s">
        <v>30</v>
      </c>
      <c r="P2" s="1" t="s">
        <v>31</v>
      </c>
      <c r="Q2" s="1" t="s">
        <v>32</v>
      </c>
      <c r="R2" s="1" t="s">
        <v>33</v>
      </c>
      <c r="S2" s="1" t="s">
        <v>34</v>
      </c>
      <c r="T2" s="1" t="s">
        <v>35</v>
      </c>
      <c r="U2" t="s">
        <v>36</v>
      </c>
      <c r="V2" t="s">
        <v>37</v>
      </c>
      <c r="W2" t="s">
        <v>38</v>
      </c>
      <c r="X2" t="s">
        <v>39</v>
      </c>
      <c r="Y2" t="s">
        <v>40</v>
      </c>
      <c r="Z2" t="s">
        <v>41</v>
      </c>
      <c r="AA2" t="s">
        <v>42</v>
      </c>
      <c r="AB2" t="s">
        <v>44</v>
      </c>
      <c r="AC2" t="s">
        <v>45</v>
      </c>
    </row>
    <row r="3" spans="1:29" ht="30" x14ac:dyDescent="0.25">
      <c r="A3" s="1" t="s">
        <v>11</v>
      </c>
      <c r="B3" s="1" t="s">
        <v>12</v>
      </c>
      <c r="C3" s="1" t="s">
        <v>10</v>
      </c>
      <c r="D3" s="1">
        <v>100</v>
      </c>
      <c r="E3" s="2">
        <v>2</v>
      </c>
      <c r="F3" s="2">
        <f>Tabla1[[SALDOS ]]*Tabla1[$/UNIDAD ]</f>
        <v>200</v>
      </c>
      <c r="G3" s="1">
        <v>1E-3</v>
      </c>
      <c r="H3" s="1">
        <f>Tabla1[[#This Row],[SALDOS ]]*Tabla1[[#This Row],[VOLUMEN ]]</f>
        <v>0.1</v>
      </c>
      <c r="I3" s="1">
        <v>26</v>
      </c>
      <c r="J3" s="1">
        <v>34</v>
      </c>
      <c r="K3" s="1">
        <v>66</v>
      </c>
      <c r="L3" s="1">
        <v>32</v>
      </c>
      <c r="M3" s="1">
        <v>6</v>
      </c>
      <c r="N3" s="1">
        <v>8</v>
      </c>
      <c r="O3" s="1">
        <v>865</v>
      </c>
      <c r="P3" s="1">
        <v>56</v>
      </c>
      <c r="Q3" s="1">
        <v>33</v>
      </c>
      <c r="R3" s="1">
        <v>45</v>
      </c>
      <c r="S3" s="1">
        <v>68</v>
      </c>
      <c r="T3" s="1">
        <v>85</v>
      </c>
      <c r="U3" s="1">
        <f>SUM(Tabla1[[#This Row],[ENERO ]:[DICIEMBRE]])</f>
        <v>1324</v>
      </c>
      <c r="V3" s="3">
        <f>Tabla1[[#This Row],[TOTAL VENDIDO]]/U$10</f>
        <v>0.38736102984201287</v>
      </c>
      <c r="W3" s="5">
        <f>AVERAGE(Tabla1[[#This Row],[ENERO ]:[DICIEMBRE]])</f>
        <v>110.33333333333333</v>
      </c>
      <c r="X3" s="4">
        <f>Tabla1[[#This Row],[INVENTARIO MINIMO ]]/24</f>
        <v>4.5972222222222223</v>
      </c>
      <c r="Y3" s="4">
        <f>Tabla1[[#This Row],[SALDOS ]]/Tabla1[[#This Row],[CONSUMO DIARIO ]]</f>
        <v>21.75226586102719</v>
      </c>
      <c r="Z3" s="1">
        <v>50</v>
      </c>
      <c r="AA3" s="4">
        <f>(Tabla1[[#This Row],[INVENTARIO MINIMO ]]*Tabla1[[#This Row],[DIAS REABASTESIMINETO ]])/30</f>
        <v>183.88888888888886</v>
      </c>
      <c r="AB3" s="4">
        <f>Tabla1[[#This Row],[SALDOS ]]-Tabla1[[#This Row],[INVENTARIO OPTIMO ]]</f>
        <v>-83.888888888888857</v>
      </c>
      <c r="AC3" s="4">
        <f>IF(Tabla1[[#This Row],[PRODUCTOS A COMPRAR ]]&lt;0,Tabla1[[#This Row],[PRODUCTOS A COMPRAR ]]*Tabla1[[#This Row],[$/UNIDAD ]]*-1,0)</f>
        <v>167.77777777777771</v>
      </c>
    </row>
    <row r="4" spans="1:29" ht="45" x14ac:dyDescent="0.25">
      <c r="A4" s="1" t="s">
        <v>17</v>
      </c>
      <c r="B4" s="1" t="s">
        <v>18</v>
      </c>
      <c r="C4" s="1" t="s">
        <v>10</v>
      </c>
      <c r="D4" s="1">
        <v>4</v>
      </c>
      <c r="E4" s="2">
        <v>20</v>
      </c>
      <c r="F4" s="2">
        <f>Tabla1[[SALDOS ]]*Tabla1[$/UNIDAD ]</f>
        <v>80</v>
      </c>
      <c r="G4" s="1">
        <v>2E-3</v>
      </c>
      <c r="H4" s="1">
        <f>Tabla1[[#This Row],[SALDOS ]]*Tabla1[[#This Row],[VOLUMEN ]]</f>
        <v>8.0000000000000002E-3</v>
      </c>
      <c r="I4" s="1">
        <v>12</v>
      </c>
      <c r="J4" s="1">
        <v>23</v>
      </c>
      <c r="K4" s="1">
        <v>33</v>
      </c>
      <c r="L4" s="1">
        <v>35</v>
      </c>
      <c r="M4" s="1">
        <v>66</v>
      </c>
      <c r="N4" s="1">
        <v>111</v>
      </c>
      <c r="O4" s="1">
        <v>6</v>
      </c>
      <c r="P4" s="1">
        <v>8</v>
      </c>
      <c r="Q4" s="1">
        <v>3</v>
      </c>
      <c r="R4" s="1">
        <v>245</v>
      </c>
      <c r="S4" s="1">
        <v>77</v>
      </c>
      <c r="T4" s="1">
        <v>2</v>
      </c>
      <c r="U4" s="1">
        <f>SUM(Tabla1[[#This Row],[ENERO ]:[DICIEMBRE]])</f>
        <v>621</v>
      </c>
      <c r="V4" s="3">
        <f>Tabla1[[#This Row],[TOTAL VENDIDO]]/U$10</f>
        <v>0.18168519602106495</v>
      </c>
      <c r="W4" s="5">
        <f>AVERAGE(Tabla1[[#This Row],[ENERO ]:[DICIEMBRE]])</f>
        <v>51.75</v>
      </c>
      <c r="X4" s="4">
        <f>Tabla1[[#This Row],[INVENTARIO MINIMO ]]/24</f>
        <v>2.15625</v>
      </c>
      <c r="Y4" s="4">
        <f>Tabla1[[#This Row],[SALDOS ]]/Tabla1[[#This Row],[CONSUMO DIARIO ]]</f>
        <v>1.855072463768116</v>
      </c>
      <c r="Z4" s="1">
        <v>12</v>
      </c>
      <c r="AA4" s="4">
        <f>(Tabla1[[#This Row],[INVENTARIO MINIMO ]]*Tabla1[[#This Row],[DIAS REABASTESIMINETO ]])/30</f>
        <v>20.7</v>
      </c>
      <c r="AB4" s="4">
        <f>Tabla1[[#This Row],[SALDOS ]]-Tabla1[[#This Row],[INVENTARIO OPTIMO ]]</f>
        <v>-16.7</v>
      </c>
      <c r="AC4" s="4">
        <f>IF(Tabla1[[#This Row],[PRODUCTOS A COMPRAR ]]&lt;0,Tabla1[[#This Row],[PRODUCTOS A COMPRAR ]]*Tabla1[[#This Row],[$/UNIDAD ]]*-1,0)</f>
        <v>334</v>
      </c>
    </row>
    <row r="5" spans="1:29" x14ac:dyDescent="0.25">
      <c r="A5" s="1" t="s">
        <v>8</v>
      </c>
      <c r="B5" s="1" t="s">
        <v>9</v>
      </c>
      <c r="C5" s="1" t="s">
        <v>10</v>
      </c>
      <c r="D5" s="1">
        <v>25</v>
      </c>
      <c r="E5" s="2">
        <v>4</v>
      </c>
      <c r="F5" s="2">
        <f>Tabla1[[SALDOS ]]*Tabla1[$/UNIDAD ]</f>
        <v>100</v>
      </c>
      <c r="G5" s="1">
        <v>0.05</v>
      </c>
      <c r="H5" s="1">
        <f>Tabla1[[#This Row],[SALDOS ]]*Tabla1[[#This Row],[VOLUMEN ]]</f>
        <v>1.25</v>
      </c>
      <c r="I5" s="1">
        <v>43</v>
      </c>
      <c r="J5" s="1">
        <v>12</v>
      </c>
      <c r="K5" s="1">
        <v>50</v>
      </c>
      <c r="L5" s="1">
        <v>100</v>
      </c>
      <c r="M5" s="1">
        <v>43</v>
      </c>
      <c r="N5" s="1">
        <v>1</v>
      </c>
      <c r="O5" s="1">
        <v>23</v>
      </c>
      <c r="P5" s="1">
        <v>34</v>
      </c>
      <c r="Q5" s="1">
        <v>66</v>
      </c>
      <c r="R5" s="1">
        <v>54</v>
      </c>
      <c r="S5" s="1">
        <v>30</v>
      </c>
      <c r="T5" s="1">
        <v>20</v>
      </c>
      <c r="U5" s="1">
        <f>SUM(Tabla1[[#This Row],[ENERO ]:[DICIEMBRE]])</f>
        <v>476</v>
      </c>
      <c r="V5" s="3">
        <f>Tabla1[[#This Row],[TOTAL VENDIDO]]/U$10</f>
        <v>0.13926272674078408</v>
      </c>
      <c r="W5" s="5">
        <f>AVERAGE(Tabla1[[#This Row],[ENERO ]:[DICIEMBRE]])</f>
        <v>39.666666666666664</v>
      </c>
      <c r="X5" s="4">
        <f>Tabla1[[#This Row],[INVENTARIO MINIMO ]]/24</f>
        <v>1.6527777777777777</v>
      </c>
      <c r="Y5" s="4">
        <f>Tabla1[[#This Row],[SALDOS ]]/Tabla1[[#This Row],[CONSUMO DIARIO ]]</f>
        <v>15.126050420168069</v>
      </c>
      <c r="Z5" s="1">
        <v>2</v>
      </c>
      <c r="AA5" s="4">
        <f>(Tabla1[[#This Row],[INVENTARIO MINIMO ]]*Tabla1[[#This Row],[DIAS REABASTESIMINETO ]])/30</f>
        <v>2.6444444444444444</v>
      </c>
      <c r="AB5" s="4">
        <f>Tabla1[[#This Row],[SALDOS ]]-Tabla1[[#This Row],[INVENTARIO OPTIMO ]]</f>
        <v>22.355555555555554</v>
      </c>
      <c r="AC5" s="4">
        <f>IF(Tabla1[[#This Row],[PRODUCTOS A COMPRAR ]]&lt;0,Tabla1[[#This Row],[PRODUCTOS A COMPRAR ]]*Tabla1[[#This Row],[$/UNIDAD ]]*-1,0)</f>
        <v>0</v>
      </c>
    </row>
    <row r="6" spans="1:29" ht="30" x14ac:dyDescent="0.25">
      <c r="A6" s="1" t="s">
        <v>13</v>
      </c>
      <c r="B6" s="1" t="s">
        <v>14</v>
      </c>
      <c r="C6" s="1" t="s">
        <v>10</v>
      </c>
      <c r="D6" s="1">
        <v>4</v>
      </c>
      <c r="E6" s="2">
        <v>24</v>
      </c>
      <c r="F6" s="2">
        <f>Tabla1[[SALDOS ]]*Tabla1[$/UNIDAD ]</f>
        <v>96</v>
      </c>
      <c r="G6" s="1">
        <v>0.03</v>
      </c>
      <c r="H6" s="1">
        <f>Tabla1[[#This Row],[SALDOS ]]*Tabla1[[#This Row],[VOLUMEN ]]</f>
        <v>0.12</v>
      </c>
      <c r="I6" s="1">
        <v>34</v>
      </c>
      <c r="J6" s="1">
        <v>23</v>
      </c>
      <c r="K6" s="1">
        <v>4</v>
      </c>
      <c r="L6" s="1">
        <v>45</v>
      </c>
      <c r="M6" s="1">
        <v>62</v>
      </c>
      <c r="N6" s="1">
        <v>27</v>
      </c>
      <c r="O6" s="1">
        <v>67</v>
      </c>
      <c r="P6" s="1">
        <v>22</v>
      </c>
      <c r="Q6" s="1">
        <v>45</v>
      </c>
      <c r="R6" s="1">
        <v>55</v>
      </c>
      <c r="S6" s="1">
        <v>5</v>
      </c>
      <c r="T6" s="1">
        <v>2</v>
      </c>
      <c r="U6" s="1">
        <f>SUM(Tabla1[[#This Row],[ENERO ]:[DICIEMBRE]])</f>
        <v>391</v>
      </c>
      <c r="V6" s="3">
        <f>Tabla1[[#This Row],[TOTAL VENDIDO]]/U$10</f>
        <v>0.11439438267992978</v>
      </c>
      <c r="W6" s="5">
        <f>AVERAGE(Tabla1[[#This Row],[ENERO ]:[DICIEMBRE]])</f>
        <v>32.583333333333336</v>
      </c>
      <c r="X6" s="4">
        <f>Tabla1[[#This Row],[INVENTARIO MINIMO ]]/24</f>
        <v>1.3576388888888891</v>
      </c>
      <c r="Y6" s="4">
        <f>Tabla1[[#This Row],[SALDOS ]]/Tabla1[[#This Row],[CONSUMO DIARIO ]]</f>
        <v>2.9462915601023014</v>
      </c>
      <c r="Z6" s="1">
        <v>34</v>
      </c>
      <c r="AA6" s="4">
        <f>(Tabla1[[#This Row],[INVENTARIO MINIMO ]]*Tabla1[[#This Row],[DIAS REABASTESIMINETO ]])/30</f>
        <v>36.927777777777784</v>
      </c>
      <c r="AB6" s="4">
        <f>Tabla1[[#This Row],[SALDOS ]]-Tabla1[[#This Row],[INVENTARIO OPTIMO ]]</f>
        <v>-32.927777777777784</v>
      </c>
      <c r="AC6" s="4">
        <f>IF(Tabla1[[#This Row],[PRODUCTOS A COMPRAR ]]&lt;0,Tabla1[[#This Row],[PRODUCTOS A COMPRAR ]]*Tabla1[[#This Row],[$/UNIDAD ]]*-1,0)</f>
        <v>790.26666666666688</v>
      </c>
    </row>
    <row r="7" spans="1:29" ht="30" x14ac:dyDescent="0.25">
      <c r="A7" s="1" t="s">
        <v>19</v>
      </c>
      <c r="B7" s="1" t="s">
        <v>20</v>
      </c>
      <c r="C7" s="1" t="s">
        <v>10</v>
      </c>
      <c r="D7" s="1">
        <v>18</v>
      </c>
      <c r="E7" s="2">
        <v>2</v>
      </c>
      <c r="F7" s="2">
        <f>Tabla1[[SALDOS ]]*Tabla1[$/UNIDAD ]</f>
        <v>36</v>
      </c>
      <c r="G7" s="1">
        <v>2E-3</v>
      </c>
      <c r="H7" s="1">
        <f>Tabla1[[#This Row],[SALDOS ]]*Tabla1[[#This Row],[VOLUMEN ]]</f>
        <v>3.6000000000000004E-2</v>
      </c>
      <c r="I7" s="1">
        <v>2</v>
      </c>
      <c r="J7" s="1">
        <v>5</v>
      </c>
      <c r="K7" s="1">
        <v>0</v>
      </c>
      <c r="L7" s="1">
        <v>22</v>
      </c>
      <c r="M7" s="1">
        <v>57</v>
      </c>
      <c r="N7" s="1">
        <v>34</v>
      </c>
      <c r="O7" s="1">
        <v>57</v>
      </c>
      <c r="P7" s="1">
        <v>97</v>
      </c>
      <c r="Q7" s="1">
        <v>55</v>
      </c>
      <c r="R7" s="1">
        <v>3</v>
      </c>
      <c r="S7" s="1">
        <v>1</v>
      </c>
      <c r="T7" s="1">
        <v>25</v>
      </c>
      <c r="U7" s="1">
        <f>SUM(Tabla1[[#This Row],[ENERO ]:[DICIEMBRE]])</f>
        <v>358</v>
      </c>
      <c r="V7" s="3">
        <f>Tabla1[[#This Row],[TOTAL VENDIDO]]/U$10</f>
        <v>0.10473961380924517</v>
      </c>
      <c r="W7" s="5">
        <f>AVERAGE(Tabla1[[#This Row],[ENERO ]:[DICIEMBRE]])</f>
        <v>29.833333333333332</v>
      </c>
      <c r="X7" s="4">
        <f>Tabla1[[#This Row],[INVENTARIO MINIMO ]]/24</f>
        <v>1.2430555555555556</v>
      </c>
      <c r="Y7" s="4">
        <f>Tabla1[[#This Row],[SALDOS ]]/Tabla1[[#This Row],[CONSUMO DIARIO ]]</f>
        <v>14.480446927374301</v>
      </c>
      <c r="Z7" s="1">
        <v>23</v>
      </c>
      <c r="AA7" s="4">
        <f>(Tabla1[[#This Row],[INVENTARIO MINIMO ]]*Tabla1[[#This Row],[DIAS REABASTESIMINETO ]])/30</f>
        <v>22.87222222222222</v>
      </c>
      <c r="AB7" s="4">
        <f>Tabla1[[#This Row],[SALDOS ]]-Tabla1[[#This Row],[INVENTARIO OPTIMO ]]</f>
        <v>-4.87222222222222</v>
      </c>
      <c r="AC7" s="4">
        <f>IF(Tabla1[[#This Row],[PRODUCTOS A COMPRAR ]]&lt;0,Tabla1[[#This Row],[PRODUCTOS A COMPRAR ]]*Tabla1[[#This Row],[$/UNIDAD ]]*-1,0)</f>
        <v>9.74444444444444</v>
      </c>
    </row>
    <row r="8" spans="1:29" ht="45" x14ac:dyDescent="0.25">
      <c r="A8" s="1" t="s">
        <v>15</v>
      </c>
      <c r="B8" s="1" t="s">
        <v>16</v>
      </c>
      <c r="C8" s="1" t="s">
        <v>10</v>
      </c>
      <c r="D8" s="1">
        <v>12</v>
      </c>
      <c r="E8" s="2">
        <v>40</v>
      </c>
      <c r="F8" s="2">
        <f>Tabla1[[SALDOS ]]*Tabla1[$/UNIDAD ]</f>
        <v>480</v>
      </c>
      <c r="G8" s="1">
        <v>0.3</v>
      </c>
      <c r="H8" s="1">
        <f>Tabla1[[#This Row],[SALDOS ]]*Tabla1[[#This Row],[VOLUMEN ]]</f>
        <v>3.5999999999999996</v>
      </c>
      <c r="I8" s="1">
        <v>2</v>
      </c>
      <c r="J8" s="1">
        <v>24</v>
      </c>
      <c r="K8" s="1">
        <v>0</v>
      </c>
      <c r="L8" s="1">
        <v>24</v>
      </c>
      <c r="M8" s="1">
        <v>45</v>
      </c>
      <c r="N8" s="1">
        <v>55</v>
      </c>
      <c r="O8" s="1">
        <v>56</v>
      </c>
      <c r="P8" s="1">
        <v>2</v>
      </c>
      <c r="Q8" s="1">
        <v>22</v>
      </c>
      <c r="R8" s="1">
        <v>10</v>
      </c>
      <c r="S8" s="1">
        <v>8</v>
      </c>
      <c r="T8" s="1">
        <v>0</v>
      </c>
      <c r="U8" s="1">
        <f>SUM(Tabla1[[#This Row],[ENERO ]:[DICIEMBRE]])</f>
        <v>248</v>
      </c>
      <c r="V8" s="3">
        <f>Tabla1[[#This Row],[TOTAL VENDIDO]]/U$10</f>
        <v>7.2557050906963141E-2</v>
      </c>
      <c r="W8" s="5">
        <f>AVERAGE(Tabla1[[#This Row],[ENERO ]:[DICIEMBRE]])</f>
        <v>20.666666666666668</v>
      </c>
      <c r="X8" s="4">
        <f>Tabla1[[#This Row],[INVENTARIO MINIMO ]]/24</f>
        <v>0.86111111111111116</v>
      </c>
      <c r="Y8" s="4">
        <f>Tabla1[[#This Row],[SALDOS ]]/Tabla1[[#This Row],[CONSUMO DIARIO ]]</f>
        <v>13.935483870967742</v>
      </c>
      <c r="Z8" s="1">
        <v>10</v>
      </c>
      <c r="AA8" s="4">
        <f>(Tabla1[[#This Row],[INVENTARIO MINIMO ]]*Tabla1[[#This Row],[DIAS REABASTESIMINETO ]])/30</f>
        <v>6.8888888888888893</v>
      </c>
      <c r="AB8" s="4">
        <f>Tabla1[[#This Row],[SALDOS ]]-Tabla1[[#This Row],[INVENTARIO OPTIMO ]]</f>
        <v>5.1111111111111107</v>
      </c>
      <c r="AC8" s="4">
        <f>IF(Tabla1[[#This Row],[PRODUCTOS A COMPRAR ]]&lt;0,Tabla1[[#This Row],[PRODUCTOS A COMPRAR ]]*Tabla1[[#This Row],[$/UNIDAD ]]*-1,0)</f>
        <v>0</v>
      </c>
    </row>
    <row r="10" spans="1:29" x14ac:dyDescent="0.25">
      <c r="C10" t="s">
        <v>21</v>
      </c>
      <c r="D10">
        <f>SUM(Tabla1[[SALDOS ]])</f>
        <v>163</v>
      </c>
      <c r="F10">
        <f>SUM(Tabla1[[COSTO TOTAL ]])</f>
        <v>992</v>
      </c>
      <c r="H10">
        <f>SUM(Tabla1[[VOLUMEN TOTAL ]])</f>
        <v>5.1139999999999999</v>
      </c>
      <c r="U10">
        <f>SUM(Tabla1[TOTAL VENDIDO])</f>
        <v>3418</v>
      </c>
      <c r="AC10" s="6">
        <f>SUM(Tabla1[[VALOR A COMPRAR ]])</f>
        <v>1301.7888888888892</v>
      </c>
    </row>
  </sheetData>
  <mergeCells count="1">
    <mergeCell ref="U1:AA1"/>
  </mergeCells>
  <conditionalFormatting sqref="AB3:AB8">
    <cfRule type="cellIs" dxfId="123" priority="1" operator="greaterThan">
      <formula>0</formula>
    </cfRule>
  </conditionalFormatting>
  <pageMargins left="0.7" right="0.7" top="0.75" bottom="0.75" header="0.3" footer="0.3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10"/>
  <sheetViews>
    <sheetView topLeftCell="L1" zoomScale="96" zoomScaleNormal="96" workbookViewId="0">
      <selection activeCell="H3" sqref="H3"/>
    </sheetView>
  </sheetViews>
  <sheetFormatPr baseColWidth="10" defaultColWidth="9.7109375" defaultRowHeight="15" x14ac:dyDescent="0.25"/>
  <cols>
    <col min="1" max="1" width="11.85546875" customWidth="1"/>
    <col min="2" max="2" width="19.85546875" customWidth="1"/>
    <col min="3" max="3" width="10.85546875" customWidth="1"/>
    <col min="4" max="4" width="10.42578125" customWidth="1"/>
    <col min="5" max="5" width="12.7109375" customWidth="1"/>
    <col min="6" max="6" width="15.5703125" customWidth="1"/>
    <col min="7" max="7" width="13" bestFit="1" customWidth="1"/>
    <col min="8" max="8" width="19" bestFit="1" customWidth="1"/>
    <col min="9" max="9" width="17.140625" bestFit="1" customWidth="1"/>
    <col min="10" max="10" width="11.140625" bestFit="1" customWidth="1"/>
    <col min="11" max="11" width="10" bestFit="1" customWidth="1"/>
    <col min="12" max="12" width="8.28515625" customWidth="1"/>
    <col min="13" max="13" width="9" customWidth="1"/>
    <col min="14" max="14" width="8.85546875" customWidth="1"/>
    <col min="15" max="15" width="8.28515625" customWidth="1"/>
    <col min="16" max="16" width="10.85546875" bestFit="1" customWidth="1"/>
    <col min="17" max="17" width="13.140625" bestFit="1" customWidth="1"/>
    <col min="18" max="18" width="11.5703125" bestFit="1" customWidth="1"/>
    <col min="19" max="19" width="13.140625" bestFit="1" customWidth="1"/>
    <col min="20" max="20" width="13" bestFit="1" customWidth="1"/>
    <col min="22" max="22" width="10.5703125" bestFit="1" customWidth="1"/>
    <col min="23" max="23" width="23.140625" bestFit="1" customWidth="1"/>
    <col min="24" max="24" width="20.28515625" bestFit="1" customWidth="1"/>
    <col min="25" max="25" width="39.42578125" bestFit="1" customWidth="1"/>
    <col min="26" max="26" width="21.5703125" bestFit="1" customWidth="1"/>
    <col min="27" max="27" width="22.85546875" bestFit="1" customWidth="1"/>
    <col min="28" max="28" width="26.28515625" bestFit="1" customWidth="1"/>
    <col min="29" max="29" width="21.140625" bestFit="1" customWidth="1"/>
  </cols>
  <sheetData>
    <row r="1" spans="1:29" x14ac:dyDescent="0.25">
      <c r="A1" t="s">
        <v>0</v>
      </c>
      <c r="I1" t="s">
        <v>22</v>
      </c>
      <c r="U1" s="7" t="s">
        <v>43</v>
      </c>
      <c r="V1" s="7"/>
      <c r="W1" s="7"/>
      <c r="X1" s="7"/>
      <c r="Y1" s="7"/>
      <c r="Z1" s="7"/>
      <c r="AA1" s="7"/>
    </row>
    <row r="2" spans="1:29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  <c r="N2" s="1" t="s">
        <v>29</v>
      </c>
      <c r="O2" s="1" t="s">
        <v>30</v>
      </c>
      <c r="P2" s="1" t="s">
        <v>31</v>
      </c>
      <c r="Q2" s="1" t="s">
        <v>32</v>
      </c>
      <c r="R2" s="1" t="s">
        <v>33</v>
      </c>
      <c r="S2" s="1" t="s">
        <v>34</v>
      </c>
      <c r="T2" s="1" t="s">
        <v>35</v>
      </c>
      <c r="U2" t="s">
        <v>36</v>
      </c>
      <c r="V2" t="s">
        <v>37</v>
      </c>
      <c r="W2" t="s">
        <v>38</v>
      </c>
      <c r="X2" t="s">
        <v>39</v>
      </c>
      <c r="Y2" t="s">
        <v>40</v>
      </c>
      <c r="Z2" t="s">
        <v>41</v>
      </c>
      <c r="AA2" t="s">
        <v>42</v>
      </c>
      <c r="AB2" t="s">
        <v>44</v>
      </c>
      <c r="AC2" t="s">
        <v>45</v>
      </c>
    </row>
    <row r="3" spans="1:29" ht="30" x14ac:dyDescent="0.25">
      <c r="A3" s="1" t="s">
        <v>11</v>
      </c>
      <c r="B3" s="1" t="s">
        <v>12</v>
      </c>
      <c r="C3" s="1" t="s">
        <v>10</v>
      </c>
      <c r="D3" s="1">
        <v>100</v>
      </c>
      <c r="E3" s="2">
        <v>2</v>
      </c>
      <c r="F3" s="2">
        <f>Tabla13[[SALDOS ]]*Tabla13[$/UNIDAD ]</f>
        <v>200</v>
      </c>
      <c r="G3" s="1">
        <v>1E-3</v>
      </c>
      <c r="H3" s="1">
        <f>Tabla13[[#This Row],[SALDOS ]]*Tabla13[[#This Row],[VOLUMEN ]]</f>
        <v>0.1</v>
      </c>
      <c r="I3" s="1">
        <v>26</v>
      </c>
      <c r="J3" s="1">
        <v>34</v>
      </c>
      <c r="K3" s="1">
        <v>66</v>
      </c>
      <c r="L3" s="1">
        <v>32</v>
      </c>
      <c r="M3" s="1">
        <v>6</v>
      </c>
      <c r="N3" s="1">
        <v>8</v>
      </c>
      <c r="O3" s="1">
        <v>865</v>
      </c>
      <c r="P3" s="1">
        <v>56</v>
      </c>
      <c r="Q3" s="1">
        <v>33</v>
      </c>
      <c r="R3" s="1">
        <v>45</v>
      </c>
      <c r="S3" s="1">
        <v>68</v>
      </c>
      <c r="T3" s="1">
        <v>85</v>
      </c>
      <c r="U3" s="1">
        <f>SUM(Tabla13[[#This Row],[ENERO ]:[DICIEMBRE]])</f>
        <v>1324</v>
      </c>
      <c r="V3" s="3">
        <f>Tabla13[[#This Row],[TOTAL VENDIDO]]/U$10</f>
        <v>0.38736102984201287</v>
      </c>
      <c r="W3" s="5">
        <f>AVERAGE(Tabla13[[#This Row],[ENERO ]:[DICIEMBRE]])</f>
        <v>110.33333333333333</v>
      </c>
      <c r="X3" s="4">
        <f>Tabla13[[#This Row],[INVENTARIO MINIMO ]]/24</f>
        <v>4.5972222222222223</v>
      </c>
      <c r="Y3" s="4">
        <f>Tabla13[[#This Row],[SALDOS ]]/Tabla13[[#This Row],[CONSUMO DIARIO ]]</f>
        <v>21.75226586102719</v>
      </c>
      <c r="Z3" s="1">
        <v>50</v>
      </c>
      <c r="AA3" s="4">
        <f>(Tabla13[[#This Row],[INVENTARIO MINIMO ]]*Tabla13[[#This Row],[DIAS REABASTESIMINETO ]])/30</f>
        <v>183.88888888888886</v>
      </c>
      <c r="AB3" s="4">
        <f>Tabla13[[#This Row],[SALDOS ]]-Tabla13[[#This Row],[INVENTARIO OPTIMO ]]</f>
        <v>-83.888888888888857</v>
      </c>
      <c r="AC3" s="4">
        <f>IF(Tabla13[[#This Row],[PRODUCTOS A COMPRAR ]]&lt;0,Tabla13[[#This Row],[PRODUCTOS A COMPRAR ]]*Tabla13[[#This Row],[$/UNIDAD ]]*-1,0)</f>
        <v>167.77777777777771</v>
      </c>
    </row>
    <row r="4" spans="1:29" ht="45" x14ac:dyDescent="0.25">
      <c r="A4" s="1" t="s">
        <v>17</v>
      </c>
      <c r="B4" s="1" t="s">
        <v>18</v>
      </c>
      <c r="C4" s="1" t="s">
        <v>10</v>
      </c>
      <c r="D4" s="1">
        <v>4</v>
      </c>
      <c r="E4" s="2">
        <v>20</v>
      </c>
      <c r="F4" s="2">
        <f>Tabla13[[SALDOS ]]*Tabla13[$/UNIDAD ]</f>
        <v>80</v>
      </c>
      <c r="G4" s="1">
        <v>2E-3</v>
      </c>
      <c r="H4" s="1">
        <f>Tabla13[[#This Row],[SALDOS ]]*Tabla13[[#This Row],[VOLUMEN ]]</f>
        <v>8.0000000000000002E-3</v>
      </c>
      <c r="I4" s="1">
        <v>12</v>
      </c>
      <c r="J4" s="1">
        <v>23</v>
      </c>
      <c r="K4" s="1">
        <v>33</v>
      </c>
      <c r="L4" s="1">
        <v>35</v>
      </c>
      <c r="M4" s="1">
        <v>66</v>
      </c>
      <c r="N4" s="1">
        <v>111</v>
      </c>
      <c r="O4" s="1">
        <v>6</v>
      </c>
      <c r="P4" s="1">
        <v>8</v>
      </c>
      <c r="Q4" s="1">
        <v>3</v>
      </c>
      <c r="R4" s="1">
        <v>245</v>
      </c>
      <c r="S4" s="1">
        <v>77</v>
      </c>
      <c r="T4" s="1">
        <v>2</v>
      </c>
      <c r="U4" s="1">
        <f>SUM(Tabla13[[#This Row],[ENERO ]:[DICIEMBRE]])</f>
        <v>621</v>
      </c>
      <c r="V4" s="3">
        <f>Tabla13[[#This Row],[TOTAL VENDIDO]]/U$10</f>
        <v>0.18168519602106495</v>
      </c>
      <c r="W4" s="5">
        <f>AVERAGE(Tabla13[[#This Row],[ENERO ]:[DICIEMBRE]])</f>
        <v>51.75</v>
      </c>
      <c r="X4" s="4">
        <f>Tabla13[[#This Row],[INVENTARIO MINIMO ]]/24</f>
        <v>2.15625</v>
      </c>
      <c r="Y4" s="4">
        <f>Tabla13[[#This Row],[SALDOS ]]/Tabla13[[#This Row],[CONSUMO DIARIO ]]</f>
        <v>1.855072463768116</v>
      </c>
      <c r="Z4" s="1">
        <v>12</v>
      </c>
      <c r="AA4" s="4">
        <f>(Tabla13[[#This Row],[INVENTARIO MINIMO ]]*Tabla13[[#This Row],[DIAS REABASTESIMINETO ]])/30</f>
        <v>20.7</v>
      </c>
      <c r="AB4" s="4">
        <f>Tabla13[[#This Row],[SALDOS ]]-Tabla13[[#This Row],[INVENTARIO OPTIMO ]]</f>
        <v>-16.7</v>
      </c>
      <c r="AC4" s="4">
        <f>IF(Tabla13[[#This Row],[PRODUCTOS A COMPRAR ]]&lt;0,Tabla13[[#This Row],[PRODUCTOS A COMPRAR ]]*Tabla13[[#This Row],[$/UNIDAD ]]*-1,0)</f>
        <v>334</v>
      </c>
    </row>
    <row r="5" spans="1:29" x14ac:dyDescent="0.25">
      <c r="A5" s="1" t="s">
        <v>8</v>
      </c>
      <c r="B5" s="1" t="s">
        <v>9</v>
      </c>
      <c r="C5" s="1" t="s">
        <v>10</v>
      </c>
      <c r="D5" s="1">
        <v>25</v>
      </c>
      <c r="E5" s="2">
        <v>4</v>
      </c>
      <c r="F5" s="2">
        <f>Tabla13[[SALDOS ]]*Tabla13[$/UNIDAD ]</f>
        <v>100</v>
      </c>
      <c r="G5" s="1">
        <v>0.05</v>
      </c>
      <c r="H5" s="1">
        <f>Tabla13[[#This Row],[SALDOS ]]*Tabla13[[#This Row],[VOLUMEN ]]</f>
        <v>1.25</v>
      </c>
      <c r="I5" s="1">
        <v>43</v>
      </c>
      <c r="J5" s="1">
        <v>12</v>
      </c>
      <c r="K5" s="1">
        <v>50</v>
      </c>
      <c r="L5" s="1">
        <v>100</v>
      </c>
      <c r="M5" s="1">
        <v>43</v>
      </c>
      <c r="N5" s="1">
        <v>1</v>
      </c>
      <c r="O5" s="1">
        <v>23</v>
      </c>
      <c r="P5" s="1">
        <v>34</v>
      </c>
      <c r="Q5" s="1">
        <v>66</v>
      </c>
      <c r="R5" s="1">
        <v>54</v>
      </c>
      <c r="S5" s="1">
        <v>30</v>
      </c>
      <c r="T5" s="1">
        <v>20</v>
      </c>
      <c r="U5" s="1">
        <f>SUM(Tabla13[[#This Row],[ENERO ]:[DICIEMBRE]])</f>
        <v>476</v>
      </c>
      <c r="V5" s="3">
        <f>Tabla13[[#This Row],[TOTAL VENDIDO]]/U$10</f>
        <v>0.13926272674078408</v>
      </c>
      <c r="W5" s="5">
        <f>AVERAGE(Tabla13[[#This Row],[ENERO ]:[DICIEMBRE]])</f>
        <v>39.666666666666664</v>
      </c>
      <c r="X5" s="4">
        <f>Tabla13[[#This Row],[INVENTARIO MINIMO ]]/24</f>
        <v>1.6527777777777777</v>
      </c>
      <c r="Y5" s="4">
        <f>Tabla13[[#This Row],[SALDOS ]]/Tabla13[[#This Row],[CONSUMO DIARIO ]]</f>
        <v>15.126050420168069</v>
      </c>
      <c r="Z5" s="1">
        <v>2</v>
      </c>
      <c r="AA5" s="4">
        <f>(Tabla13[[#This Row],[INVENTARIO MINIMO ]]*Tabla13[[#This Row],[DIAS REABASTESIMINETO ]])/30</f>
        <v>2.6444444444444444</v>
      </c>
      <c r="AB5" s="4">
        <f>Tabla13[[#This Row],[SALDOS ]]-Tabla13[[#This Row],[INVENTARIO OPTIMO ]]</f>
        <v>22.355555555555554</v>
      </c>
      <c r="AC5" s="4">
        <f>IF(Tabla13[[#This Row],[PRODUCTOS A COMPRAR ]]&lt;0,Tabla13[[#This Row],[PRODUCTOS A COMPRAR ]]*Tabla13[[#This Row],[$/UNIDAD ]]*-1,0)</f>
        <v>0</v>
      </c>
    </row>
    <row r="6" spans="1:29" ht="30" x14ac:dyDescent="0.25">
      <c r="A6" s="1" t="s">
        <v>13</v>
      </c>
      <c r="B6" s="1" t="s">
        <v>14</v>
      </c>
      <c r="C6" s="1" t="s">
        <v>10</v>
      </c>
      <c r="D6" s="1">
        <v>4</v>
      </c>
      <c r="E6" s="2">
        <v>24</v>
      </c>
      <c r="F6" s="2">
        <f>Tabla13[[SALDOS ]]*Tabla13[$/UNIDAD ]</f>
        <v>96</v>
      </c>
      <c r="G6" s="1">
        <v>0.03</v>
      </c>
      <c r="H6" s="1">
        <f>Tabla13[[#This Row],[SALDOS ]]*Tabla13[[#This Row],[VOLUMEN ]]</f>
        <v>0.12</v>
      </c>
      <c r="I6" s="1">
        <v>34</v>
      </c>
      <c r="J6" s="1">
        <v>23</v>
      </c>
      <c r="K6" s="1">
        <v>4</v>
      </c>
      <c r="L6" s="1">
        <v>45</v>
      </c>
      <c r="M6" s="1">
        <v>62</v>
      </c>
      <c r="N6" s="1">
        <v>27</v>
      </c>
      <c r="O6" s="1">
        <v>67</v>
      </c>
      <c r="P6" s="1">
        <v>22</v>
      </c>
      <c r="Q6" s="1">
        <v>45</v>
      </c>
      <c r="R6" s="1">
        <v>55</v>
      </c>
      <c r="S6" s="1">
        <v>5</v>
      </c>
      <c r="T6" s="1">
        <v>2</v>
      </c>
      <c r="U6" s="1">
        <f>SUM(Tabla13[[#This Row],[ENERO ]:[DICIEMBRE]])</f>
        <v>391</v>
      </c>
      <c r="V6" s="3">
        <f>Tabla13[[#This Row],[TOTAL VENDIDO]]/U$10</f>
        <v>0.11439438267992978</v>
      </c>
      <c r="W6" s="5">
        <f>AVERAGE(Tabla13[[#This Row],[ENERO ]:[DICIEMBRE]])</f>
        <v>32.583333333333336</v>
      </c>
      <c r="X6" s="4">
        <f>Tabla13[[#This Row],[INVENTARIO MINIMO ]]/24</f>
        <v>1.3576388888888891</v>
      </c>
      <c r="Y6" s="4">
        <f>Tabla13[[#This Row],[SALDOS ]]/Tabla13[[#This Row],[CONSUMO DIARIO ]]</f>
        <v>2.9462915601023014</v>
      </c>
      <c r="Z6" s="1">
        <v>34</v>
      </c>
      <c r="AA6" s="4">
        <f>(Tabla13[[#This Row],[INVENTARIO MINIMO ]]*Tabla13[[#This Row],[DIAS REABASTESIMINETO ]])/30</f>
        <v>36.927777777777784</v>
      </c>
      <c r="AB6" s="4">
        <f>Tabla13[[#This Row],[SALDOS ]]-Tabla13[[#This Row],[INVENTARIO OPTIMO ]]</f>
        <v>-32.927777777777784</v>
      </c>
      <c r="AC6" s="4">
        <f>IF(Tabla13[[#This Row],[PRODUCTOS A COMPRAR ]]&lt;0,Tabla13[[#This Row],[PRODUCTOS A COMPRAR ]]*Tabla13[[#This Row],[$/UNIDAD ]]*-1,0)</f>
        <v>790.26666666666688</v>
      </c>
    </row>
    <row r="7" spans="1:29" ht="30" x14ac:dyDescent="0.25">
      <c r="A7" s="1" t="s">
        <v>19</v>
      </c>
      <c r="B7" s="1" t="s">
        <v>20</v>
      </c>
      <c r="C7" s="1" t="s">
        <v>10</v>
      </c>
      <c r="D7" s="1">
        <v>18</v>
      </c>
      <c r="E7" s="2">
        <v>2</v>
      </c>
      <c r="F7" s="2">
        <f>Tabla13[[SALDOS ]]*Tabla13[$/UNIDAD ]</f>
        <v>36</v>
      </c>
      <c r="G7" s="1">
        <v>2E-3</v>
      </c>
      <c r="H7" s="1">
        <f>Tabla13[[#This Row],[SALDOS ]]*Tabla13[[#This Row],[VOLUMEN ]]</f>
        <v>3.6000000000000004E-2</v>
      </c>
      <c r="I7" s="1">
        <v>2</v>
      </c>
      <c r="J7" s="1">
        <v>5</v>
      </c>
      <c r="K7" s="1">
        <v>0</v>
      </c>
      <c r="L7" s="1">
        <v>22</v>
      </c>
      <c r="M7" s="1">
        <v>57</v>
      </c>
      <c r="N7" s="1">
        <v>34</v>
      </c>
      <c r="O7" s="1">
        <v>57</v>
      </c>
      <c r="P7" s="1">
        <v>97</v>
      </c>
      <c r="Q7" s="1">
        <v>55</v>
      </c>
      <c r="R7" s="1">
        <v>3</v>
      </c>
      <c r="S7" s="1">
        <v>1</v>
      </c>
      <c r="T7" s="1">
        <v>25</v>
      </c>
      <c r="U7" s="1">
        <f>SUM(Tabla13[[#This Row],[ENERO ]:[DICIEMBRE]])</f>
        <v>358</v>
      </c>
      <c r="V7" s="3">
        <f>Tabla13[[#This Row],[TOTAL VENDIDO]]/U$10</f>
        <v>0.10473961380924517</v>
      </c>
      <c r="W7" s="5">
        <f>AVERAGE(Tabla13[[#This Row],[ENERO ]:[DICIEMBRE]])</f>
        <v>29.833333333333332</v>
      </c>
      <c r="X7" s="4">
        <f>Tabla13[[#This Row],[INVENTARIO MINIMO ]]/24</f>
        <v>1.2430555555555556</v>
      </c>
      <c r="Y7" s="4">
        <f>Tabla13[[#This Row],[SALDOS ]]/Tabla13[[#This Row],[CONSUMO DIARIO ]]</f>
        <v>14.480446927374301</v>
      </c>
      <c r="Z7" s="1">
        <v>23</v>
      </c>
      <c r="AA7" s="4">
        <f>(Tabla13[[#This Row],[INVENTARIO MINIMO ]]*Tabla13[[#This Row],[DIAS REABASTESIMINETO ]])/30</f>
        <v>22.87222222222222</v>
      </c>
      <c r="AB7" s="4">
        <f>Tabla13[[#This Row],[SALDOS ]]-Tabla13[[#This Row],[INVENTARIO OPTIMO ]]</f>
        <v>-4.87222222222222</v>
      </c>
      <c r="AC7" s="4">
        <f>IF(Tabla13[[#This Row],[PRODUCTOS A COMPRAR ]]&lt;0,Tabla13[[#This Row],[PRODUCTOS A COMPRAR ]]*Tabla13[[#This Row],[$/UNIDAD ]]*-1,0)</f>
        <v>9.74444444444444</v>
      </c>
    </row>
    <row r="8" spans="1:29" ht="45" x14ac:dyDescent="0.25">
      <c r="A8" s="1" t="s">
        <v>15</v>
      </c>
      <c r="B8" s="1" t="s">
        <v>16</v>
      </c>
      <c r="C8" s="1" t="s">
        <v>10</v>
      </c>
      <c r="D8" s="1">
        <v>12</v>
      </c>
      <c r="E8" s="2">
        <v>40</v>
      </c>
      <c r="F8" s="2">
        <f>Tabla13[[SALDOS ]]*Tabla13[$/UNIDAD ]</f>
        <v>480</v>
      </c>
      <c r="G8" s="1">
        <v>0.3</v>
      </c>
      <c r="H8" s="1">
        <f>Tabla13[[#This Row],[SALDOS ]]*Tabla13[[#This Row],[VOLUMEN ]]</f>
        <v>3.5999999999999996</v>
      </c>
      <c r="I8" s="1">
        <v>2</v>
      </c>
      <c r="J8" s="1">
        <v>24</v>
      </c>
      <c r="K8" s="1">
        <v>0</v>
      </c>
      <c r="L8" s="1">
        <v>24</v>
      </c>
      <c r="M8" s="1">
        <v>45</v>
      </c>
      <c r="N8" s="1">
        <v>55</v>
      </c>
      <c r="O8" s="1">
        <v>56</v>
      </c>
      <c r="P8" s="1">
        <v>2</v>
      </c>
      <c r="Q8" s="1">
        <v>22</v>
      </c>
      <c r="R8" s="1">
        <v>10</v>
      </c>
      <c r="S8" s="1">
        <v>8</v>
      </c>
      <c r="T8" s="1">
        <v>0</v>
      </c>
      <c r="U8" s="1">
        <f>SUM(Tabla13[[#This Row],[ENERO ]:[DICIEMBRE]])</f>
        <v>248</v>
      </c>
      <c r="V8" s="3">
        <f>Tabla13[[#This Row],[TOTAL VENDIDO]]/U$10</f>
        <v>7.2557050906963141E-2</v>
      </c>
      <c r="W8" s="5">
        <f>AVERAGE(Tabla13[[#This Row],[ENERO ]:[DICIEMBRE]])</f>
        <v>20.666666666666668</v>
      </c>
      <c r="X8" s="4">
        <f>Tabla13[[#This Row],[INVENTARIO MINIMO ]]/24</f>
        <v>0.86111111111111116</v>
      </c>
      <c r="Y8" s="4">
        <f>Tabla13[[#This Row],[SALDOS ]]/Tabla13[[#This Row],[CONSUMO DIARIO ]]</f>
        <v>13.935483870967742</v>
      </c>
      <c r="Z8" s="1">
        <v>10</v>
      </c>
      <c r="AA8" s="4">
        <f>(Tabla13[[#This Row],[INVENTARIO MINIMO ]]*Tabla13[[#This Row],[DIAS REABASTESIMINETO ]])/30</f>
        <v>6.8888888888888893</v>
      </c>
      <c r="AB8" s="4">
        <f>Tabla13[[#This Row],[SALDOS ]]-Tabla13[[#This Row],[INVENTARIO OPTIMO ]]</f>
        <v>5.1111111111111107</v>
      </c>
      <c r="AC8" s="4">
        <f>IF(Tabla13[[#This Row],[PRODUCTOS A COMPRAR ]]&lt;0,Tabla13[[#This Row],[PRODUCTOS A COMPRAR ]]*Tabla13[[#This Row],[$/UNIDAD ]]*-1,0)</f>
        <v>0</v>
      </c>
    </row>
    <row r="10" spans="1:29" x14ac:dyDescent="0.25">
      <c r="C10" t="s">
        <v>21</v>
      </c>
      <c r="D10">
        <f>SUM(Tabla13[[SALDOS ]])</f>
        <v>163</v>
      </c>
      <c r="F10">
        <f>SUM(Tabla13[[COSTO TOTAL ]])</f>
        <v>992</v>
      </c>
      <c r="H10">
        <f>SUM(Tabla13[[VOLUMEN TOTAL ]])</f>
        <v>5.1139999999999999</v>
      </c>
      <c r="U10">
        <f>SUM(Tabla13[TOTAL VENDIDO])</f>
        <v>3418</v>
      </c>
      <c r="AC10" s="6">
        <f>SUM(Tabla13[[VALOR A COMPRAR ]])</f>
        <v>1301.7888888888892</v>
      </c>
    </row>
  </sheetData>
  <mergeCells count="1">
    <mergeCell ref="U1:AA1"/>
  </mergeCells>
  <conditionalFormatting sqref="AB3:AB8">
    <cfRule type="cellIs" dxfId="92" priority="1" operator="greaterThan">
      <formula>0</formula>
    </cfRule>
  </conditionalFormatting>
  <pageMargins left="0.7" right="0.7" top="0.75" bottom="0.75" header="0.3" footer="0.3"/>
  <legacy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10"/>
  <sheetViews>
    <sheetView zoomScale="96" zoomScaleNormal="96" workbookViewId="0">
      <selection activeCell="H3" sqref="H3"/>
    </sheetView>
  </sheetViews>
  <sheetFormatPr baseColWidth="10" defaultColWidth="9.7109375" defaultRowHeight="15" x14ac:dyDescent="0.25"/>
  <cols>
    <col min="1" max="1" width="11.85546875" customWidth="1"/>
    <col min="2" max="2" width="19.85546875" customWidth="1"/>
    <col min="3" max="3" width="10.85546875" customWidth="1"/>
    <col min="4" max="4" width="10.42578125" customWidth="1"/>
    <col min="5" max="5" width="12.7109375" customWidth="1"/>
    <col min="6" max="6" width="15.5703125" customWidth="1"/>
    <col min="7" max="7" width="13" bestFit="1" customWidth="1"/>
    <col min="8" max="8" width="19" bestFit="1" customWidth="1"/>
    <col min="9" max="9" width="17.140625" bestFit="1" customWidth="1"/>
    <col min="10" max="10" width="11.140625" bestFit="1" customWidth="1"/>
    <col min="11" max="11" width="10" bestFit="1" customWidth="1"/>
    <col min="12" max="12" width="8.28515625" customWidth="1"/>
    <col min="13" max="13" width="9" customWidth="1"/>
    <col min="14" max="14" width="8.85546875" customWidth="1"/>
    <col min="15" max="15" width="8.28515625" customWidth="1"/>
    <col min="16" max="16" width="10.85546875" bestFit="1" customWidth="1"/>
    <col min="17" max="17" width="13.140625" bestFit="1" customWidth="1"/>
    <col min="18" max="18" width="11.5703125" bestFit="1" customWidth="1"/>
    <col min="19" max="19" width="13.140625" bestFit="1" customWidth="1"/>
    <col min="20" max="20" width="13" bestFit="1" customWidth="1"/>
    <col min="22" max="22" width="10.5703125" bestFit="1" customWidth="1"/>
    <col min="23" max="23" width="23.140625" bestFit="1" customWidth="1"/>
    <col min="24" max="24" width="20.28515625" bestFit="1" customWidth="1"/>
    <col min="25" max="25" width="39.42578125" bestFit="1" customWidth="1"/>
    <col min="26" max="26" width="21.5703125" bestFit="1" customWidth="1"/>
    <col min="27" max="27" width="22.85546875" bestFit="1" customWidth="1"/>
    <col min="28" max="28" width="26.28515625" bestFit="1" customWidth="1"/>
    <col min="29" max="29" width="21.140625" bestFit="1" customWidth="1"/>
  </cols>
  <sheetData>
    <row r="1" spans="1:29" x14ac:dyDescent="0.25">
      <c r="A1" t="s">
        <v>0</v>
      </c>
      <c r="I1" t="s">
        <v>22</v>
      </c>
      <c r="U1" s="7" t="s">
        <v>43</v>
      </c>
      <c r="V1" s="7"/>
      <c r="W1" s="7"/>
      <c r="X1" s="7"/>
      <c r="Y1" s="7"/>
      <c r="Z1" s="7"/>
      <c r="AA1" s="7"/>
    </row>
    <row r="2" spans="1:29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  <c r="N2" s="1" t="s">
        <v>29</v>
      </c>
      <c r="O2" s="1" t="s">
        <v>30</v>
      </c>
      <c r="P2" s="1" t="s">
        <v>31</v>
      </c>
      <c r="Q2" s="1" t="s">
        <v>32</v>
      </c>
      <c r="R2" s="1" t="s">
        <v>33</v>
      </c>
      <c r="S2" s="1" t="s">
        <v>34</v>
      </c>
      <c r="T2" s="1" t="s">
        <v>35</v>
      </c>
      <c r="U2" t="s">
        <v>36</v>
      </c>
      <c r="V2" t="s">
        <v>37</v>
      </c>
      <c r="W2" t="s">
        <v>38</v>
      </c>
      <c r="X2" t="s">
        <v>39</v>
      </c>
      <c r="Y2" t="s">
        <v>40</v>
      </c>
      <c r="Z2" t="s">
        <v>41</v>
      </c>
      <c r="AA2" t="s">
        <v>42</v>
      </c>
      <c r="AB2" t="s">
        <v>44</v>
      </c>
      <c r="AC2" t="s">
        <v>45</v>
      </c>
    </row>
    <row r="3" spans="1:29" ht="30" x14ac:dyDescent="0.25">
      <c r="A3" s="1" t="s">
        <v>11</v>
      </c>
      <c r="B3" s="1" t="s">
        <v>12</v>
      </c>
      <c r="C3" s="1" t="s">
        <v>10</v>
      </c>
      <c r="D3" s="1">
        <v>100</v>
      </c>
      <c r="E3" s="2">
        <v>2</v>
      </c>
      <c r="F3" s="2">
        <f>Tabla134[[SALDOS ]]*Tabla134[$/UNIDAD ]</f>
        <v>200</v>
      </c>
      <c r="G3" s="1">
        <v>1E-3</v>
      </c>
      <c r="H3" s="1">
        <f>Tabla134[[#This Row],[SALDOS ]]*Tabla134[[#This Row],[VOLUMEN ]]</f>
        <v>0.1</v>
      </c>
      <c r="I3" s="1">
        <v>26</v>
      </c>
      <c r="J3" s="1">
        <v>34</v>
      </c>
      <c r="K3" s="1">
        <v>66</v>
      </c>
      <c r="L3" s="1">
        <v>32</v>
      </c>
      <c r="M3" s="1">
        <v>6</v>
      </c>
      <c r="N3" s="1">
        <v>8</v>
      </c>
      <c r="O3" s="1">
        <v>865</v>
      </c>
      <c r="P3" s="1">
        <v>56</v>
      </c>
      <c r="Q3" s="1">
        <v>33</v>
      </c>
      <c r="R3" s="1">
        <v>45</v>
      </c>
      <c r="S3" s="1">
        <v>68</v>
      </c>
      <c r="T3" s="1">
        <v>85</v>
      </c>
      <c r="U3" s="1">
        <f>SUM(Tabla134[[#This Row],[ENERO ]:[DICIEMBRE]])</f>
        <v>1324</v>
      </c>
      <c r="V3" s="3">
        <f>Tabla134[[#This Row],[TOTAL VENDIDO]]/U$10</f>
        <v>0.38736102984201287</v>
      </c>
      <c r="W3" s="5">
        <f>AVERAGE(Tabla134[[#This Row],[ENERO ]:[DICIEMBRE]])</f>
        <v>110.33333333333333</v>
      </c>
      <c r="X3" s="4">
        <f>Tabla134[[#This Row],[INVENTARIO MINIMO ]]/24</f>
        <v>4.5972222222222223</v>
      </c>
      <c r="Y3" s="4">
        <f>Tabla134[[#This Row],[SALDOS ]]/Tabla134[[#This Row],[CONSUMO DIARIO ]]</f>
        <v>21.75226586102719</v>
      </c>
      <c r="Z3" s="1">
        <v>50</v>
      </c>
      <c r="AA3" s="4">
        <f>(Tabla134[[#This Row],[INVENTARIO MINIMO ]]*Tabla134[[#This Row],[DIAS REABASTESIMINETO ]])/30</f>
        <v>183.88888888888886</v>
      </c>
      <c r="AB3" s="4">
        <f>Tabla134[[#This Row],[SALDOS ]]-Tabla134[[#This Row],[INVENTARIO OPTIMO ]]</f>
        <v>-83.888888888888857</v>
      </c>
      <c r="AC3" s="4">
        <f>IF(Tabla134[[#This Row],[PRODUCTOS A COMPRAR ]]&lt;0,Tabla134[[#This Row],[PRODUCTOS A COMPRAR ]]*Tabla134[[#This Row],[$/UNIDAD ]]*-1,0)</f>
        <v>167.77777777777771</v>
      </c>
    </row>
    <row r="4" spans="1:29" ht="45" x14ac:dyDescent="0.25">
      <c r="A4" s="1" t="s">
        <v>17</v>
      </c>
      <c r="B4" s="1" t="s">
        <v>18</v>
      </c>
      <c r="C4" s="1" t="s">
        <v>10</v>
      </c>
      <c r="D4" s="1">
        <v>4</v>
      </c>
      <c r="E4" s="2">
        <v>20</v>
      </c>
      <c r="F4" s="2">
        <f>Tabla134[[SALDOS ]]*Tabla134[$/UNIDAD ]</f>
        <v>80</v>
      </c>
      <c r="G4" s="1">
        <v>2E-3</v>
      </c>
      <c r="H4" s="1">
        <f>Tabla134[[#This Row],[SALDOS ]]*Tabla134[[#This Row],[VOLUMEN ]]</f>
        <v>8.0000000000000002E-3</v>
      </c>
      <c r="I4" s="1">
        <v>12</v>
      </c>
      <c r="J4" s="1">
        <v>23</v>
      </c>
      <c r="K4" s="1">
        <v>33</v>
      </c>
      <c r="L4" s="1">
        <v>35</v>
      </c>
      <c r="M4" s="1">
        <v>66</v>
      </c>
      <c r="N4" s="1">
        <v>111</v>
      </c>
      <c r="O4" s="1">
        <v>6</v>
      </c>
      <c r="P4" s="1">
        <v>8</v>
      </c>
      <c r="Q4" s="1">
        <v>3</v>
      </c>
      <c r="R4" s="1">
        <v>245</v>
      </c>
      <c r="S4" s="1">
        <v>77</v>
      </c>
      <c r="T4" s="1">
        <v>2</v>
      </c>
      <c r="U4" s="1">
        <f>SUM(Tabla134[[#This Row],[ENERO ]:[DICIEMBRE]])</f>
        <v>621</v>
      </c>
      <c r="V4" s="3">
        <f>Tabla134[[#This Row],[TOTAL VENDIDO]]/U$10</f>
        <v>0.18168519602106495</v>
      </c>
      <c r="W4" s="5">
        <f>AVERAGE(Tabla134[[#This Row],[ENERO ]:[DICIEMBRE]])</f>
        <v>51.75</v>
      </c>
      <c r="X4" s="4">
        <f>Tabla134[[#This Row],[INVENTARIO MINIMO ]]/24</f>
        <v>2.15625</v>
      </c>
      <c r="Y4" s="4">
        <f>Tabla134[[#This Row],[SALDOS ]]/Tabla134[[#This Row],[CONSUMO DIARIO ]]</f>
        <v>1.855072463768116</v>
      </c>
      <c r="Z4" s="1">
        <v>12</v>
      </c>
      <c r="AA4" s="4">
        <f>(Tabla134[[#This Row],[INVENTARIO MINIMO ]]*Tabla134[[#This Row],[DIAS REABASTESIMINETO ]])/30</f>
        <v>20.7</v>
      </c>
      <c r="AB4" s="4">
        <f>Tabla134[[#This Row],[SALDOS ]]-Tabla134[[#This Row],[INVENTARIO OPTIMO ]]</f>
        <v>-16.7</v>
      </c>
      <c r="AC4" s="4">
        <f>IF(Tabla134[[#This Row],[PRODUCTOS A COMPRAR ]]&lt;0,Tabla134[[#This Row],[PRODUCTOS A COMPRAR ]]*Tabla134[[#This Row],[$/UNIDAD ]]*-1,0)</f>
        <v>334</v>
      </c>
    </row>
    <row r="5" spans="1:29" x14ac:dyDescent="0.25">
      <c r="A5" s="1" t="s">
        <v>8</v>
      </c>
      <c r="B5" s="1" t="s">
        <v>9</v>
      </c>
      <c r="C5" s="1" t="s">
        <v>10</v>
      </c>
      <c r="D5" s="1">
        <v>25</v>
      </c>
      <c r="E5" s="2">
        <v>4</v>
      </c>
      <c r="F5" s="2">
        <f>Tabla134[[SALDOS ]]*Tabla134[$/UNIDAD ]</f>
        <v>100</v>
      </c>
      <c r="G5" s="1">
        <v>0.05</v>
      </c>
      <c r="H5" s="1">
        <f>Tabla134[[#This Row],[SALDOS ]]*Tabla134[[#This Row],[VOLUMEN ]]</f>
        <v>1.25</v>
      </c>
      <c r="I5" s="1">
        <v>43</v>
      </c>
      <c r="J5" s="1">
        <v>12</v>
      </c>
      <c r="K5" s="1">
        <v>50</v>
      </c>
      <c r="L5" s="1">
        <v>100</v>
      </c>
      <c r="M5" s="1">
        <v>43</v>
      </c>
      <c r="N5" s="1">
        <v>1</v>
      </c>
      <c r="O5" s="1">
        <v>23</v>
      </c>
      <c r="P5" s="1">
        <v>34</v>
      </c>
      <c r="Q5" s="1">
        <v>66</v>
      </c>
      <c r="R5" s="1">
        <v>54</v>
      </c>
      <c r="S5" s="1">
        <v>30</v>
      </c>
      <c r="T5" s="1">
        <v>20</v>
      </c>
      <c r="U5" s="1">
        <f>SUM(Tabla134[[#This Row],[ENERO ]:[DICIEMBRE]])</f>
        <v>476</v>
      </c>
      <c r="V5" s="3">
        <f>Tabla134[[#This Row],[TOTAL VENDIDO]]/U$10</f>
        <v>0.13926272674078408</v>
      </c>
      <c r="W5" s="5">
        <f>AVERAGE(Tabla134[[#This Row],[ENERO ]:[DICIEMBRE]])</f>
        <v>39.666666666666664</v>
      </c>
      <c r="X5" s="4">
        <f>Tabla134[[#This Row],[INVENTARIO MINIMO ]]/24</f>
        <v>1.6527777777777777</v>
      </c>
      <c r="Y5" s="4">
        <f>Tabla134[[#This Row],[SALDOS ]]/Tabla134[[#This Row],[CONSUMO DIARIO ]]</f>
        <v>15.126050420168069</v>
      </c>
      <c r="Z5" s="1">
        <v>2</v>
      </c>
      <c r="AA5" s="4">
        <f>(Tabla134[[#This Row],[INVENTARIO MINIMO ]]*Tabla134[[#This Row],[DIAS REABASTESIMINETO ]])/30</f>
        <v>2.6444444444444444</v>
      </c>
      <c r="AB5" s="4">
        <f>Tabla134[[#This Row],[SALDOS ]]-Tabla134[[#This Row],[INVENTARIO OPTIMO ]]</f>
        <v>22.355555555555554</v>
      </c>
      <c r="AC5" s="4">
        <f>IF(Tabla134[[#This Row],[PRODUCTOS A COMPRAR ]]&lt;0,Tabla134[[#This Row],[PRODUCTOS A COMPRAR ]]*Tabla134[[#This Row],[$/UNIDAD ]]*-1,0)</f>
        <v>0</v>
      </c>
    </row>
    <row r="6" spans="1:29" ht="30" x14ac:dyDescent="0.25">
      <c r="A6" s="1" t="s">
        <v>13</v>
      </c>
      <c r="B6" s="1" t="s">
        <v>14</v>
      </c>
      <c r="C6" s="1" t="s">
        <v>10</v>
      </c>
      <c r="D6" s="1">
        <v>4</v>
      </c>
      <c r="E6" s="2">
        <v>24</v>
      </c>
      <c r="F6" s="2">
        <f>Tabla134[[SALDOS ]]*Tabla134[$/UNIDAD ]</f>
        <v>96</v>
      </c>
      <c r="G6" s="1">
        <v>0.03</v>
      </c>
      <c r="H6" s="1">
        <f>Tabla134[[#This Row],[SALDOS ]]*Tabla134[[#This Row],[VOLUMEN ]]</f>
        <v>0.12</v>
      </c>
      <c r="I6" s="1">
        <v>34</v>
      </c>
      <c r="J6" s="1">
        <v>23</v>
      </c>
      <c r="K6" s="1">
        <v>4</v>
      </c>
      <c r="L6" s="1">
        <v>45</v>
      </c>
      <c r="M6" s="1">
        <v>62</v>
      </c>
      <c r="N6" s="1">
        <v>27</v>
      </c>
      <c r="O6" s="1">
        <v>67</v>
      </c>
      <c r="P6" s="1">
        <v>22</v>
      </c>
      <c r="Q6" s="1">
        <v>45</v>
      </c>
      <c r="R6" s="1">
        <v>55</v>
      </c>
      <c r="S6" s="1">
        <v>5</v>
      </c>
      <c r="T6" s="1">
        <v>2</v>
      </c>
      <c r="U6" s="1">
        <f>SUM(Tabla134[[#This Row],[ENERO ]:[DICIEMBRE]])</f>
        <v>391</v>
      </c>
      <c r="V6" s="3">
        <f>Tabla134[[#This Row],[TOTAL VENDIDO]]/U$10</f>
        <v>0.11439438267992978</v>
      </c>
      <c r="W6" s="5">
        <f>AVERAGE(Tabla134[[#This Row],[ENERO ]:[DICIEMBRE]])</f>
        <v>32.583333333333336</v>
      </c>
      <c r="X6" s="4">
        <f>Tabla134[[#This Row],[INVENTARIO MINIMO ]]/24</f>
        <v>1.3576388888888891</v>
      </c>
      <c r="Y6" s="4">
        <f>Tabla134[[#This Row],[SALDOS ]]/Tabla134[[#This Row],[CONSUMO DIARIO ]]</f>
        <v>2.9462915601023014</v>
      </c>
      <c r="Z6" s="1">
        <v>34</v>
      </c>
      <c r="AA6" s="4">
        <f>(Tabla134[[#This Row],[INVENTARIO MINIMO ]]*Tabla134[[#This Row],[DIAS REABASTESIMINETO ]])/30</f>
        <v>36.927777777777784</v>
      </c>
      <c r="AB6" s="4">
        <f>Tabla134[[#This Row],[SALDOS ]]-Tabla134[[#This Row],[INVENTARIO OPTIMO ]]</f>
        <v>-32.927777777777784</v>
      </c>
      <c r="AC6" s="4">
        <f>IF(Tabla134[[#This Row],[PRODUCTOS A COMPRAR ]]&lt;0,Tabla134[[#This Row],[PRODUCTOS A COMPRAR ]]*Tabla134[[#This Row],[$/UNIDAD ]]*-1,0)</f>
        <v>790.26666666666688</v>
      </c>
    </row>
    <row r="7" spans="1:29" ht="30" x14ac:dyDescent="0.25">
      <c r="A7" s="1" t="s">
        <v>19</v>
      </c>
      <c r="B7" s="1" t="s">
        <v>20</v>
      </c>
      <c r="C7" s="1" t="s">
        <v>10</v>
      </c>
      <c r="D7" s="1">
        <v>18</v>
      </c>
      <c r="E7" s="2">
        <v>2</v>
      </c>
      <c r="F7" s="2">
        <f>Tabla134[[SALDOS ]]*Tabla134[$/UNIDAD ]</f>
        <v>36</v>
      </c>
      <c r="G7" s="1">
        <v>2E-3</v>
      </c>
      <c r="H7" s="1">
        <f>Tabla134[[#This Row],[SALDOS ]]*Tabla134[[#This Row],[VOLUMEN ]]</f>
        <v>3.6000000000000004E-2</v>
      </c>
      <c r="I7" s="1">
        <v>2</v>
      </c>
      <c r="J7" s="1">
        <v>5</v>
      </c>
      <c r="K7" s="1">
        <v>0</v>
      </c>
      <c r="L7" s="1">
        <v>22</v>
      </c>
      <c r="M7" s="1">
        <v>57</v>
      </c>
      <c r="N7" s="1">
        <v>34</v>
      </c>
      <c r="O7" s="1">
        <v>57</v>
      </c>
      <c r="P7" s="1">
        <v>97</v>
      </c>
      <c r="Q7" s="1">
        <v>55</v>
      </c>
      <c r="R7" s="1">
        <v>3</v>
      </c>
      <c r="S7" s="1">
        <v>1</v>
      </c>
      <c r="T7" s="1">
        <v>25</v>
      </c>
      <c r="U7" s="1">
        <f>SUM(Tabla134[[#This Row],[ENERO ]:[DICIEMBRE]])</f>
        <v>358</v>
      </c>
      <c r="V7" s="3">
        <f>Tabla134[[#This Row],[TOTAL VENDIDO]]/U$10</f>
        <v>0.10473961380924517</v>
      </c>
      <c r="W7" s="5">
        <f>AVERAGE(Tabla134[[#This Row],[ENERO ]:[DICIEMBRE]])</f>
        <v>29.833333333333332</v>
      </c>
      <c r="X7" s="4">
        <f>Tabla134[[#This Row],[INVENTARIO MINIMO ]]/24</f>
        <v>1.2430555555555556</v>
      </c>
      <c r="Y7" s="4">
        <f>Tabla134[[#This Row],[SALDOS ]]/Tabla134[[#This Row],[CONSUMO DIARIO ]]</f>
        <v>14.480446927374301</v>
      </c>
      <c r="Z7" s="1">
        <v>23</v>
      </c>
      <c r="AA7" s="4">
        <f>(Tabla134[[#This Row],[INVENTARIO MINIMO ]]*Tabla134[[#This Row],[DIAS REABASTESIMINETO ]])/30</f>
        <v>22.87222222222222</v>
      </c>
      <c r="AB7" s="4">
        <f>Tabla134[[#This Row],[SALDOS ]]-Tabla134[[#This Row],[INVENTARIO OPTIMO ]]</f>
        <v>-4.87222222222222</v>
      </c>
      <c r="AC7" s="4">
        <f>IF(Tabla134[[#This Row],[PRODUCTOS A COMPRAR ]]&lt;0,Tabla134[[#This Row],[PRODUCTOS A COMPRAR ]]*Tabla134[[#This Row],[$/UNIDAD ]]*-1,0)</f>
        <v>9.74444444444444</v>
      </c>
    </row>
    <row r="8" spans="1:29" ht="45" x14ac:dyDescent="0.25">
      <c r="A8" s="1" t="s">
        <v>15</v>
      </c>
      <c r="B8" s="1" t="s">
        <v>16</v>
      </c>
      <c r="C8" s="1" t="s">
        <v>10</v>
      </c>
      <c r="D8" s="1">
        <v>12</v>
      </c>
      <c r="E8" s="2">
        <v>40</v>
      </c>
      <c r="F8" s="2">
        <f>Tabla134[[SALDOS ]]*Tabla134[$/UNIDAD ]</f>
        <v>480</v>
      </c>
      <c r="G8" s="1">
        <v>0.3</v>
      </c>
      <c r="H8" s="1">
        <f>Tabla134[[#This Row],[SALDOS ]]*Tabla134[[#This Row],[VOLUMEN ]]</f>
        <v>3.5999999999999996</v>
      </c>
      <c r="I8" s="1">
        <v>2</v>
      </c>
      <c r="J8" s="1">
        <v>24</v>
      </c>
      <c r="K8" s="1">
        <v>0</v>
      </c>
      <c r="L8" s="1">
        <v>24</v>
      </c>
      <c r="M8" s="1">
        <v>45</v>
      </c>
      <c r="N8" s="1">
        <v>55</v>
      </c>
      <c r="O8" s="1">
        <v>56</v>
      </c>
      <c r="P8" s="1">
        <v>2</v>
      </c>
      <c r="Q8" s="1">
        <v>22</v>
      </c>
      <c r="R8" s="1">
        <v>10</v>
      </c>
      <c r="S8" s="1">
        <v>8</v>
      </c>
      <c r="T8" s="1">
        <v>0</v>
      </c>
      <c r="U8" s="1">
        <f>SUM(Tabla134[[#This Row],[ENERO ]:[DICIEMBRE]])</f>
        <v>248</v>
      </c>
      <c r="V8" s="3">
        <f>Tabla134[[#This Row],[TOTAL VENDIDO]]/U$10</f>
        <v>7.2557050906963141E-2</v>
      </c>
      <c r="W8" s="5">
        <f>AVERAGE(Tabla134[[#This Row],[ENERO ]:[DICIEMBRE]])</f>
        <v>20.666666666666668</v>
      </c>
      <c r="X8" s="4">
        <f>Tabla134[[#This Row],[INVENTARIO MINIMO ]]/24</f>
        <v>0.86111111111111116</v>
      </c>
      <c r="Y8" s="4">
        <f>Tabla134[[#This Row],[SALDOS ]]/Tabla134[[#This Row],[CONSUMO DIARIO ]]</f>
        <v>13.935483870967742</v>
      </c>
      <c r="Z8" s="1">
        <v>10</v>
      </c>
      <c r="AA8" s="4">
        <f>(Tabla134[[#This Row],[INVENTARIO MINIMO ]]*Tabla134[[#This Row],[DIAS REABASTESIMINETO ]])/30</f>
        <v>6.8888888888888893</v>
      </c>
      <c r="AB8" s="4">
        <f>Tabla134[[#This Row],[SALDOS ]]-Tabla134[[#This Row],[INVENTARIO OPTIMO ]]</f>
        <v>5.1111111111111107</v>
      </c>
      <c r="AC8" s="4">
        <f>IF(Tabla134[[#This Row],[PRODUCTOS A COMPRAR ]]&lt;0,Tabla134[[#This Row],[PRODUCTOS A COMPRAR ]]*Tabla134[[#This Row],[$/UNIDAD ]]*-1,0)</f>
        <v>0</v>
      </c>
    </row>
    <row r="10" spans="1:29" x14ac:dyDescent="0.25">
      <c r="C10" t="s">
        <v>21</v>
      </c>
      <c r="D10">
        <f>SUM(Tabla134[[SALDOS ]])</f>
        <v>163</v>
      </c>
      <c r="F10">
        <f>SUM(Tabla134[[COSTO TOTAL ]])</f>
        <v>992</v>
      </c>
      <c r="H10">
        <f>SUM(Tabla134[[VOLUMEN TOTAL ]])</f>
        <v>5.1139999999999999</v>
      </c>
      <c r="U10">
        <f>SUM(Tabla134[TOTAL VENDIDO])</f>
        <v>3418</v>
      </c>
      <c r="AC10" s="6">
        <f>SUM(Tabla134[[VALOR A COMPRAR ]])</f>
        <v>1301.7888888888892</v>
      </c>
    </row>
  </sheetData>
  <mergeCells count="1">
    <mergeCell ref="U1:AA1"/>
  </mergeCells>
  <conditionalFormatting sqref="AB3:AB8">
    <cfRule type="cellIs" dxfId="61" priority="1" operator="greaterThan">
      <formula>0</formula>
    </cfRule>
  </conditionalFormatting>
  <pageMargins left="0.7" right="0.7" top="0.75" bottom="0.75" header="0.3" footer="0.3"/>
  <legacy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10"/>
  <sheetViews>
    <sheetView tabSelected="1" zoomScale="96" zoomScaleNormal="96" workbookViewId="0">
      <selection activeCell="H4" sqref="H4"/>
    </sheetView>
  </sheetViews>
  <sheetFormatPr baseColWidth="10" defaultColWidth="9.7109375" defaultRowHeight="15" x14ac:dyDescent="0.25"/>
  <cols>
    <col min="1" max="1" width="11.85546875" customWidth="1"/>
    <col min="2" max="2" width="19.85546875" customWidth="1"/>
    <col min="3" max="3" width="10.85546875" customWidth="1"/>
    <col min="4" max="4" width="10.42578125" customWidth="1"/>
    <col min="5" max="5" width="12.7109375" customWidth="1"/>
    <col min="6" max="6" width="15.5703125" customWidth="1"/>
    <col min="7" max="7" width="13" bestFit="1" customWidth="1"/>
    <col min="8" max="8" width="19" bestFit="1" customWidth="1"/>
    <col min="9" max="9" width="17.140625" bestFit="1" customWidth="1"/>
    <col min="10" max="10" width="11.140625" bestFit="1" customWidth="1"/>
    <col min="11" max="11" width="10" bestFit="1" customWidth="1"/>
    <col min="12" max="12" width="8.28515625" customWidth="1"/>
    <col min="13" max="13" width="9" customWidth="1"/>
    <col min="14" max="14" width="8.85546875" customWidth="1"/>
    <col min="15" max="15" width="8.28515625" customWidth="1"/>
    <col min="16" max="16" width="10.85546875" bestFit="1" customWidth="1"/>
    <col min="17" max="17" width="13.140625" bestFit="1" customWidth="1"/>
    <col min="18" max="18" width="11.5703125" bestFit="1" customWidth="1"/>
    <col min="19" max="19" width="13.140625" bestFit="1" customWidth="1"/>
    <col min="20" max="20" width="13" bestFit="1" customWidth="1"/>
    <col min="22" max="22" width="10.5703125" bestFit="1" customWidth="1"/>
    <col min="23" max="23" width="23.140625" bestFit="1" customWidth="1"/>
    <col min="24" max="24" width="20.28515625" bestFit="1" customWidth="1"/>
    <col min="25" max="25" width="39.42578125" bestFit="1" customWidth="1"/>
    <col min="26" max="26" width="21.5703125" bestFit="1" customWidth="1"/>
    <col min="27" max="27" width="22.85546875" bestFit="1" customWidth="1"/>
    <col min="28" max="28" width="26.28515625" bestFit="1" customWidth="1"/>
    <col min="29" max="29" width="21.140625" bestFit="1" customWidth="1"/>
  </cols>
  <sheetData>
    <row r="1" spans="1:29" x14ac:dyDescent="0.25">
      <c r="A1" t="s">
        <v>0</v>
      </c>
      <c r="I1" t="s">
        <v>22</v>
      </c>
      <c r="U1" s="7" t="s">
        <v>43</v>
      </c>
      <c r="V1" s="7"/>
      <c r="W1" s="7"/>
      <c r="X1" s="7"/>
      <c r="Y1" s="7"/>
      <c r="Z1" s="7"/>
      <c r="AA1" s="7"/>
    </row>
    <row r="2" spans="1:29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  <c r="N2" s="1" t="s">
        <v>29</v>
      </c>
      <c r="O2" s="1" t="s">
        <v>30</v>
      </c>
      <c r="P2" s="1" t="s">
        <v>31</v>
      </c>
      <c r="Q2" s="1" t="s">
        <v>32</v>
      </c>
      <c r="R2" s="1" t="s">
        <v>33</v>
      </c>
      <c r="S2" s="1" t="s">
        <v>34</v>
      </c>
      <c r="T2" s="1" t="s">
        <v>35</v>
      </c>
      <c r="U2" t="s">
        <v>36</v>
      </c>
      <c r="V2" t="s">
        <v>37</v>
      </c>
      <c r="W2" t="s">
        <v>38</v>
      </c>
      <c r="X2" t="s">
        <v>39</v>
      </c>
      <c r="Y2" t="s">
        <v>40</v>
      </c>
      <c r="Z2" t="s">
        <v>41</v>
      </c>
      <c r="AA2" t="s">
        <v>42</v>
      </c>
      <c r="AB2" t="s">
        <v>44</v>
      </c>
      <c r="AC2" t="s">
        <v>45</v>
      </c>
    </row>
    <row r="3" spans="1:29" ht="30" x14ac:dyDescent="0.25">
      <c r="A3" s="1" t="s">
        <v>11</v>
      </c>
      <c r="B3" s="1" t="s">
        <v>12</v>
      </c>
      <c r="C3" s="1" t="s">
        <v>10</v>
      </c>
      <c r="D3" s="1">
        <v>100</v>
      </c>
      <c r="E3" s="2">
        <v>2</v>
      </c>
      <c r="F3" s="2">
        <f>Tabla1345[[SALDOS ]]*Tabla1345[$/UNIDAD ]</f>
        <v>200</v>
      </c>
      <c r="G3" s="1">
        <v>1E-3</v>
      </c>
      <c r="H3" s="1">
        <f>Tabla1345[[#This Row],[SALDOS ]]*Tabla1345[[#This Row],[VOLUMEN ]]</f>
        <v>0.1</v>
      </c>
      <c r="I3" s="1">
        <v>26</v>
      </c>
      <c r="J3" s="1">
        <v>34</v>
      </c>
      <c r="K3" s="1">
        <v>66</v>
      </c>
      <c r="L3" s="1">
        <v>32</v>
      </c>
      <c r="M3" s="1">
        <v>6</v>
      </c>
      <c r="N3" s="1">
        <v>8</v>
      </c>
      <c r="O3" s="1">
        <v>865</v>
      </c>
      <c r="P3" s="1">
        <v>56</v>
      </c>
      <c r="Q3" s="1">
        <v>33</v>
      </c>
      <c r="R3" s="1">
        <v>45</v>
      </c>
      <c r="S3" s="1">
        <v>68</v>
      </c>
      <c r="T3" s="1">
        <v>85</v>
      </c>
      <c r="U3" s="1">
        <f>SUM(Tabla1345[[#This Row],[ENERO ]:[DICIEMBRE]])</f>
        <v>1324</v>
      </c>
      <c r="V3" s="3">
        <f>Tabla1345[[#This Row],[TOTAL VENDIDO]]/U$10</f>
        <v>0.38736102984201287</v>
      </c>
      <c r="W3" s="5">
        <f>AVERAGE(Tabla1345[[#This Row],[ENERO ]:[DICIEMBRE]])</f>
        <v>110.33333333333333</v>
      </c>
      <c r="X3" s="4">
        <f>Tabla1345[[#This Row],[INVENTARIO MINIMO ]]/24</f>
        <v>4.5972222222222223</v>
      </c>
      <c r="Y3" s="4">
        <f>Tabla1345[[#This Row],[SALDOS ]]/Tabla1345[[#This Row],[CONSUMO DIARIO ]]</f>
        <v>21.75226586102719</v>
      </c>
      <c r="Z3" s="1">
        <v>50</v>
      </c>
      <c r="AA3" s="4">
        <f>(Tabla1345[[#This Row],[INVENTARIO MINIMO ]]*Tabla1345[[#This Row],[DIAS REABASTESIMINETO ]])/30</f>
        <v>183.88888888888886</v>
      </c>
      <c r="AB3" s="4">
        <f>Tabla1345[[#This Row],[SALDOS ]]-Tabla1345[[#This Row],[INVENTARIO OPTIMO ]]</f>
        <v>-83.888888888888857</v>
      </c>
      <c r="AC3" s="4">
        <f>IF(Tabla1345[[#This Row],[PRODUCTOS A COMPRAR ]]&lt;0,Tabla1345[[#This Row],[PRODUCTOS A COMPRAR ]]*Tabla1345[[#This Row],[$/UNIDAD ]]*-1,0)</f>
        <v>167.77777777777771</v>
      </c>
    </row>
    <row r="4" spans="1:29" ht="45" x14ac:dyDescent="0.25">
      <c r="A4" s="1" t="s">
        <v>17</v>
      </c>
      <c r="B4" s="1" t="s">
        <v>18</v>
      </c>
      <c r="C4" s="1" t="s">
        <v>10</v>
      </c>
      <c r="D4" s="1">
        <v>4</v>
      </c>
      <c r="E4" s="2">
        <v>20</v>
      </c>
      <c r="F4" s="2">
        <f>Tabla1345[[SALDOS ]]*Tabla1345[$/UNIDAD ]</f>
        <v>80</v>
      </c>
      <c r="G4" s="1">
        <v>2E-3</v>
      </c>
      <c r="H4" s="1">
        <f>Tabla1345[[#This Row],[SALDOS ]]*Tabla1345[[#This Row],[VOLUMEN ]]</f>
        <v>8.0000000000000002E-3</v>
      </c>
      <c r="I4" s="1">
        <v>12</v>
      </c>
      <c r="J4" s="1">
        <v>23</v>
      </c>
      <c r="K4" s="1">
        <v>33</v>
      </c>
      <c r="L4" s="1">
        <v>35</v>
      </c>
      <c r="M4" s="1">
        <v>66</v>
      </c>
      <c r="N4" s="1">
        <v>111</v>
      </c>
      <c r="O4" s="1">
        <v>6</v>
      </c>
      <c r="P4" s="1">
        <v>8</v>
      </c>
      <c r="Q4" s="1">
        <v>3</v>
      </c>
      <c r="R4" s="1">
        <v>245</v>
      </c>
      <c r="S4" s="1">
        <v>77</v>
      </c>
      <c r="T4" s="1">
        <v>2</v>
      </c>
      <c r="U4" s="1">
        <f>SUM(Tabla1345[[#This Row],[ENERO ]:[DICIEMBRE]])</f>
        <v>621</v>
      </c>
      <c r="V4" s="3">
        <f>Tabla1345[[#This Row],[TOTAL VENDIDO]]/U$10</f>
        <v>0.18168519602106495</v>
      </c>
      <c r="W4" s="5">
        <f>AVERAGE(Tabla1345[[#This Row],[ENERO ]:[DICIEMBRE]])</f>
        <v>51.75</v>
      </c>
      <c r="X4" s="4">
        <f>Tabla1345[[#This Row],[INVENTARIO MINIMO ]]/24</f>
        <v>2.15625</v>
      </c>
      <c r="Y4" s="4">
        <f>Tabla1345[[#This Row],[SALDOS ]]/Tabla1345[[#This Row],[CONSUMO DIARIO ]]</f>
        <v>1.855072463768116</v>
      </c>
      <c r="Z4" s="1">
        <v>12</v>
      </c>
      <c r="AA4" s="4">
        <f>(Tabla1345[[#This Row],[INVENTARIO MINIMO ]]*Tabla1345[[#This Row],[DIAS REABASTESIMINETO ]])/30</f>
        <v>20.7</v>
      </c>
      <c r="AB4" s="4">
        <f>Tabla1345[[#This Row],[SALDOS ]]-Tabla1345[[#This Row],[INVENTARIO OPTIMO ]]</f>
        <v>-16.7</v>
      </c>
      <c r="AC4" s="4">
        <f>IF(Tabla1345[[#This Row],[PRODUCTOS A COMPRAR ]]&lt;0,Tabla1345[[#This Row],[PRODUCTOS A COMPRAR ]]*Tabla1345[[#This Row],[$/UNIDAD ]]*-1,0)</f>
        <v>334</v>
      </c>
    </row>
    <row r="5" spans="1:29" x14ac:dyDescent="0.25">
      <c r="A5" s="1" t="s">
        <v>8</v>
      </c>
      <c r="B5" s="1" t="s">
        <v>9</v>
      </c>
      <c r="C5" s="1" t="s">
        <v>10</v>
      </c>
      <c r="D5" s="1">
        <v>25</v>
      </c>
      <c r="E5" s="2">
        <v>4</v>
      </c>
      <c r="F5" s="2">
        <f>Tabla1345[[SALDOS ]]*Tabla1345[$/UNIDAD ]</f>
        <v>100</v>
      </c>
      <c r="G5" s="1">
        <v>0.05</v>
      </c>
      <c r="H5" s="1">
        <f>Tabla1345[[#This Row],[SALDOS ]]*Tabla1345[[#This Row],[VOLUMEN ]]</f>
        <v>1.25</v>
      </c>
      <c r="I5" s="1">
        <v>43</v>
      </c>
      <c r="J5" s="1">
        <v>12</v>
      </c>
      <c r="K5" s="1">
        <v>50</v>
      </c>
      <c r="L5" s="1">
        <v>100</v>
      </c>
      <c r="M5" s="1">
        <v>43</v>
      </c>
      <c r="N5" s="1">
        <v>1</v>
      </c>
      <c r="O5" s="1">
        <v>23</v>
      </c>
      <c r="P5" s="1">
        <v>34</v>
      </c>
      <c r="Q5" s="1">
        <v>66</v>
      </c>
      <c r="R5" s="1">
        <v>54</v>
      </c>
      <c r="S5" s="1">
        <v>30</v>
      </c>
      <c r="T5" s="1">
        <v>20</v>
      </c>
      <c r="U5" s="1">
        <f>SUM(Tabla1345[[#This Row],[ENERO ]:[DICIEMBRE]])</f>
        <v>476</v>
      </c>
      <c r="V5" s="3">
        <f>Tabla1345[[#This Row],[TOTAL VENDIDO]]/U$10</f>
        <v>0.13926272674078408</v>
      </c>
      <c r="W5" s="5">
        <f>AVERAGE(Tabla1345[[#This Row],[ENERO ]:[DICIEMBRE]])</f>
        <v>39.666666666666664</v>
      </c>
      <c r="X5" s="4">
        <f>Tabla1345[[#This Row],[INVENTARIO MINIMO ]]/24</f>
        <v>1.6527777777777777</v>
      </c>
      <c r="Y5" s="4">
        <f>Tabla1345[[#This Row],[SALDOS ]]/Tabla1345[[#This Row],[CONSUMO DIARIO ]]</f>
        <v>15.126050420168069</v>
      </c>
      <c r="Z5" s="1">
        <v>2</v>
      </c>
      <c r="AA5" s="4">
        <f>(Tabla1345[[#This Row],[INVENTARIO MINIMO ]]*Tabla1345[[#This Row],[DIAS REABASTESIMINETO ]])/30</f>
        <v>2.6444444444444444</v>
      </c>
      <c r="AB5" s="4">
        <f>Tabla1345[[#This Row],[SALDOS ]]-Tabla1345[[#This Row],[INVENTARIO OPTIMO ]]</f>
        <v>22.355555555555554</v>
      </c>
      <c r="AC5" s="4">
        <f>IF(Tabla1345[[#This Row],[PRODUCTOS A COMPRAR ]]&lt;0,Tabla1345[[#This Row],[PRODUCTOS A COMPRAR ]]*Tabla1345[[#This Row],[$/UNIDAD ]]*-1,0)</f>
        <v>0</v>
      </c>
    </row>
    <row r="6" spans="1:29" ht="30" x14ac:dyDescent="0.25">
      <c r="A6" s="1" t="s">
        <v>13</v>
      </c>
      <c r="B6" s="1" t="s">
        <v>14</v>
      </c>
      <c r="C6" s="1" t="s">
        <v>10</v>
      </c>
      <c r="D6" s="1">
        <v>4</v>
      </c>
      <c r="E6" s="2">
        <v>24</v>
      </c>
      <c r="F6" s="2">
        <f>Tabla1345[[SALDOS ]]*Tabla1345[$/UNIDAD ]</f>
        <v>96</v>
      </c>
      <c r="G6" s="1">
        <v>0.03</v>
      </c>
      <c r="H6" s="1">
        <f>Tabla1345[[#This Row],[SALDOS ]]*Tabla1345[[#This Row],[VOLUMEN ]]</f>
        <v>0.12</v>
      </c>
      <c r="I6" s="1">
        <v>34</v>
      </c>
      <c r="J6" s="1">
        <v>23</v>
      </c>
      <c r="K6" s="1">
        <v>4</v>
      </c>
      <c r="L6" s="1">
        <v>45</v>
      </c>
      <c r="M6" s="1">
        <v>62</v>
      </c>
      <c r="N6" s="1">
        <v>27</v>
      </c>
      <c r="O6" s="1">
        <v>67</v>
      </c>
      <c r="P6" s="1">
        <v>22</v>
      </c>
      <c r="Q6" s="1">
        <v>45</v>
      </c>
      <c r="R6" s="1">
        <v>55</v>
      </c>
      <c r="S6" s="1">
        <v>5</v>
      </c>
      <c r="T6" s="1">
        <v>2</v>
      </c>
      <c r="U6" s="1">
        <f>SUM(Tabla1345[[#This Row],[ENERO ]:[DICIEMBRE]])</f>
        <v>391</v>
      </c>
      <c r="V6" s="3">
        <f>Tabla1345[[#This Row],[TOTAL VENDIDO]]/U$10</f>
        <v>0.11439438267992978</v>
      </c>
      <c r="W6" s="5">
        <f>AVERAGE(Tabla1345[[#This Row],[ENERO ]:[DICIEMBRE]])</f>
        <v>32.583333333333336</v>
      </c>
      <c r="X6" s="4">
        <f>Tabla1345[[#This Row],[INVENTARIO MINIMO ]]/24</f>
        <v>1.3576388888888891</v>
      </c>
      <c r="Y6" s="4">
        <f>Tabla1345[[#This Row],[SALDOS ]]/Tabla1345[[#This Row],[CONSUMO DIARIO ]]</f>
        <v>2.9462915601023014</v>
      </c>
      <c r="Z6" s="1">
        <v>34</v>
      </c>
      <c r="AA6" s="4">
        <f>(Tabla1345[[#This Row],[INVENTARIO MINIMO ]]*Tabla1345[[#This Row],[DIAS REABASTESIMINETO ]])/30</f>
        <v>36.927777777777784</v>
      </c>
      <c r="AB6" s="4">
        <f>Tabla1345[[#This Row],[SALDOS ]]-Tabla1345[[#This Row],[INVENTARIO OPTIMO ]]</f>
        <v>-32.927777777777784</v>
      </c>
      <c r="AC6" s="4">
        <f>IF(Tabla1345[[#This Row],[PRODUCTOS A COMPRAR ]]&lt;0,Tabla1345[[#This Row],[PRODUCTOS A COMPRAR ]]*Tabla1345[[#This Row],[$/UNIDAD ]]*-1,0)</f>
        <v>790.26666666666688</v>
      </c>
    </row>
    <row r="7" spans="1:29" ht="30" x14ac:dyDescent="0.25">
      <c r="A7" s="1" t="s">
        <v>19</v>
      </c>
      <c r="B7" s="1" t="s">
        <v>20</v>
      </c>
      <c r="C7" s="1" t="s">
        <v>10</v>
      </c>
      <c r="D7" s="1">
        <v>18</v>
      </c>
      <c r="E7" s="2">
        <v>2</v>
      </c>
      <c r="F7" s="2">
        <f>Tabla1345[[SALDOS ]]*Tabla1345[$/UNIDAD ]</f>
        <v>36</v>
      </c>
      <c r="G7" s="1">
        <v>2E-3</v>
      </c>
      <c r="H7" s="1">
        <f>Tabla1345[[#This Row],[SALDOS ]]*Tabla1345[[#This Row],[VOLUMEN ]]</f>
        <v>3.6000000000000004E-2</v>
      </c>
      <c r="I7" s="1">
        <v>2</v>
      </c>
      <c r="J7" s="1">
        <v>5</v>
      </c>
      <c r="K7" s="1">
        <v>0</v>
      </c>
      <c r="L7" s="1">
        <v>22</v>
      </c>
      <c r="M7" s="1">
        <v>57</v>
      </c>
      <c r="N7" s="1">
        <v>34</v>
      </c>
      <c r="O7" s="1">
        <v>57</v>
      </c>
      <c r="P7" s="1">
        <v>97</v>
      </c>
      <c r="Q7" s="1">
        <v>55</v>
      </c>
      <c r="R7" s="1">
        <v>3</v>
      </c>
      <c r="S7" s="1">
        <v>1</v>
      </c>
      <c r="T7" s="1">
        <v>25</v>
      </c>
      <c r="U7" s="1">
        <f>SUM(Tabla1345[[#This Row],[ENERO ]:[DICIEMBRE]])</f>
        <v>358</v>
      </c>
      <c r="V7" s="3">
        <f>Tabla1345[[#This Row],[TOTAL VENDIDO]]/U$10</f>
        <v>0.10473961380924517</v>
      </c>
      <c r="W7" s="5">
        <f>AVERAGE(Tabla1345[[#This Row],[ENERO ]:[DICIEMBRE]])</f>
        <v>29.833333333333332</v>
      </c>
      <c r="X7" s="4">
        <f>Tabla1345[[#This Row],[INVENTARIO MINIMO ]]/24</f>
        <v>1.2430555555555556</v>
      </c>
      <c r="Y7" s="4">
        <f>Tabla1345[[#This Row],[SALDOS ]]/Tabla1345[[#This Row],[CONSUMO DIARIO ]]</f>
        <v>14.480446927374301</v>
      </c>
      <c r="Z7" s="1">
        <v>23</v>
      </c>
      <c r="AA7" s="4">
        <f>(Tabla1345[[#This Row],[INVENTARIO MINIMO ]]*Tabla1345[[#This Row],[DIAS REABASTESIMINETO ]])/30</f>
        <v>22.87222222222222</v>
      </c>
      <c r="AB7" s="4">
        <f>Tabla1345[[#This Row],[SALDOS ]]-Tabla1345[[#This Row],[INVENTARIO OPTIMO ]]</f>
        <v>-4.87222222222222</v>
      </c>
      <c r="AC7" s="4">
        <f>IF(Tabla1345[[#This Row],[PRODUCTOS A COMPRAR ]]&lt;0,Tabla1345[[#This Row],[PRODUCTOS A COMPRAR ]]*Tabla1345[[#This Row],[$/UNIDAD ]]*-1,0)</f>
        <v>9.74444444444444</v>
      </c>
    </row>
    <row r="8" spans="1:29" ht="45" x14ac:dyDescent="0.25">
      <c r="A8" s="1" t="s">
        <v>15</v>
      </c>
      <c r="B8" s="1" t="s">
        <v>16</v>
      </c>
      <c r="C8" s="1" t="s">
        <v>10</v>
      </c>
      <c r="D8" s="1">
        <v>12</v>
      </c>
      <c r="E8" s="2">
        <v>40</v>
      </c>
      <c r="F8" s="2">
        <f>Tabla1345[[SALDOS ]]*Tabla1345[$/UNIDAD ]</f>
        <v>480</v>
      </c>
      <c r="G8" s="1">
        <v>0.3</v>
      </c>
      <c r="H8" s="1">
        <f>Tabla1345[[#This Row],[SALDOS ]]*Tabla1345[[#This Row],[VOLUMEN ]]</f>
        <v>3.5999999999999996</v>
      </c>
      <c r="I8" s="1">
        <v>2</v>
      </c>
      <c r="J8" s="1">
        <v>24</v>
      </c>
      <c r="K8" s="1">
        <v>0</v>
      </c>
      <c r="L8" s="1">
        <v>24</v>
      </c>
      <c r="M8" s="1">
        <v>45</v>
      </c>
      <c r="N8" s="1">
        <v>55</v>
      </c>
      <c r="O8" s="1">
        <v>56</v>
      </c>
      <c r="P8" s="1">
        <v>2</v>
      </c>
      <c r="Q8" s="1">
        <v>22</v>
      </c>
      <c r="R8" s="1">
        <v>10</v>
      </c>
      <c r="S8" s="1">
        <v>8</v>
      </c>
      <c r="T8" s="1">
        <v>0</v>
      </c>
      <c r="U8" s="1">
        <f>SUM(Tabla1345[[#This Row],[ENERO ]:[DICIEMBRE]])</f>
        <v>248</v>
      </c>
      <c r="V8" s="3">
        <f>Tabla1345[[#This Row],[TOTAL VENDIDO]]/U$10</f>
        <v>7.2557050906963141E-2</v>
      </c>
      <c r="W8" s="5">
        <f>AVERAGE(Tabla1345[[#This Row],[ENERO ]:[DICIEMBRE]])</f>
        <v>20.666666666666668</v>
      </c>
      <c r="X8" s="4">
        <f>Tabla1345[[#This Row],[INVENTARIO MINIMO ]]/24</f>
        <v>0.86111111111111116</v>
      </c>
      <c r="Y8" s="4">
        <f>Tabla1345[[#This Row],[SALDOS ]]/Tabla1345[[#This Row],[CONSUMO DIARIO ]]</f>
        <v>13.935483870967742</v>
      </c>
      <c r="Z8" s="1">
        <v>10</v>
      </c>
      <c r="AA8" s="4">
        <f>(Tabla1345[[#This Row],[INVENTARIO MINIMO ]]*Tabla1345[[#This Row],[DIAS REABASTESIMINETO ]])/30</f>
        <v>6.8888888888888893</v>
      </c>
      <c r="AB8" s="4">
        <f>Tabla1345[[#This Row],[SALDOS ]]-Tabla1345[[#This Row],[INVENTARIO OPTIMO ]]</f>
        <v>5.1111111111111107</v>
      </c>
      <c r="AC8" s="4">
        <f>IF(Tabla1345[[#This Row],[PRODUCTOS A COMPRAR ]]&lt;0,Tabla1345[[#This Row],[PRODUCTOS A COMPRAR ]]*Tabla1345[[#This Row],[$/UNIDAD ]]*-1,0)</f>
        <v>0</v>
      </c>
    </row>
    <row r="10" spans="1:29" x14ac:dyDescent="0.25">
      <c r="C10" t="s">
        <v>21</v>
      </c>
      <c r="D10">
        <f>SUM(Tabla1345[[SALDOS ]])</f>
        <v>163</v>
      </c>
      <c r="F10">
        <f>SUM(Tabla1345[[COSTO TOTAL ]])</f>
        <v>992</v>
      </c>
      <c r="H10">
        <f>SUM(Tabla1345[[VOLUMEN TOTAL ]])</f>
        <v>5.1139999999999999</v>
      </c>
      <c r="U10">
        <f>SUM(Tabla1345[TOTAL VENDIDO])</f>
        <v>3418</v>
      </c>
      <c r="AC10" s="6">
        <f>SUM(Tabla1345[[VALOR A COMPRAR ]])</f>
        <v>1301.7888888888892</v>
      </c>
    </row>
  </sheetData>
  <mergeCells count="1">
    <mergeCell ref="U1:AA1"/>
  </mergeCells>
  <conditionalFormatting sqref="AB3:AB8">
    <cfRule type="cellIs" dxfId="30" priority="1" operator="greaterThan">
      <formula>0</formula>
    </cfRule>
  </conditionalFormatting>
  <pageMargins left="0.7" right="0.7" top="0.75" bottom="0.75" header="0.3" footer="0.3"/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GRUPO 1</vt:lpstr>
      <vt:lpstr>GRUPO 2</vt:lpstr>
      <vt:lpstr>GRUPO 3</vt:lpstr>
      <vt:lpstr>GRUPO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2026-07-17T21:48:32Z</dcterms:modified>
</cp:coreProperties>
</file>